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<sst xmlns="http://schemas.openxmlformats.org/spreadsheetml/2006/main" count="298" uniqueCount="279">
  <si>
    <t>Выплата единовременного пособия при всех формах устройства детей, лишенных родительского попечения, в семью</t>
  </si>
  <si>
    <t>02525 000 0409 0000000 000 000</t>
  </si>
  <si>
    <t>101,452</t>
  </si>
  <si>
    <t>23703 000 0000 0000000 000 000</t>
  </si>
  <si>
    <t>103,3</t>
  </si>
  <si>
    <t>101,397</t>
  </si>
  <si>
    <t>в том числе: в сфере образования</t>
  </si>
  <si>
    <t>101,437</t>
  </si>
  <si>
    <t>25200 000 0000 0000000 000 000</t>
  </si>
  <si>
    <t>103,35</t>
  </si>
  <si>
    <t>14000 000 0000 0000000 000 000</t>
  </si>
  <si>
    <t>10720 000 0000 0000000 000 000</t>
  </si>
  <si>
    <t>13200 000 0800 0000000 000 000</t>
  </si>
  <si>
    <t>101,594</t>
  </si>
  <si>
    <t>101,30</t>
  </si>
  <si>
    <t>101,433</t>
  </si>
  <si>
    <t>15200 000 0000 0000000 000 000</t>
  </si>
  <si>
    <t>средняя заработная плата педагогических работников образовательных учреждений общего образования</t>
  </si>
  <si>
    <t>103,31</t>
  </si>
  <si>
    <t>12320 000 0000 0000000 000 290</t>
  </si>
  <si>
    <t>00210 000 0000 0000000 000 211</t>
  </si>
  <si>
    <t>101,456</t>
  </si>
  <si>
    <t>03800 000 0700 0000000 000 000</t>
  </si>
  <si>
    <t>103,9</t>
  </si>
  <si>
    <t>101,418</t>
  </si>
  <si>
    <t>Федеральные целевые программы (без ФАИП)</t>
  </si>
  <si>
    <t>Осуществление первичного воинского учета на территориях, где отсутствуют военные комиссариаты</t>
  </si>
  <si>
    <t>09302 000 1003 0000000 000 262</t>
  </si>
  <si>
    <t>103,7</t>
  </si>
  <si>
    <t>Начисления на выплаты по оплате труда</t>
  </si>
  <si>
    <t>101,458</t>
  </si>
  <si>
    <t>15121 000 0000 0000000 000 000</t>
  </si>
  <si>
    <t>101,99</t>
  </si>
  <si>
    <t>прирост заработной платы, в том числе:</t>
  </si>
  <si>
    <t>101,32</t>
  </si>
  <si>
    <t>Прирост расходов по фонду оплаты труда (с начислениями) к отчетному финансовому году, из них:</t>
  </si>
  <si>
    <t>ОСТАТКИ СРЕДСТВ БЮДЖЕТОВ НА ОТЧЕТНУЮ ДАТУ:</t>
  </si>
  <si>
    <t>101,97</t>
  </si>
  <si>
    <t>в других сферах</t>
  </si>
  <si>
    <t>15000 000 0000 0000000 000 000</t>
  </si>
  <si>
    <t>103,1</t>
  </si>
  <si>
    <t>101,410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</si>
  <si>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</si>
  <si>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29  Городские и сельские поселения % к плану на год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</si>
  <si>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</si>
  <si>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</si>
  <si>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1  1 Утверждено консолидированный бюджет субъекта РФ</t>
  </si>
  <si>
    <t>Расходы по содержанию органов местного самоуправления, всего</t>
  </si>
  <si>
    <t>00231 000 0000 0000000 000 213</t>
  </si>
  <si>
    <t>начисления на выплаты по оплате труда</t>
  </si>
  <si>
    <t>25000 000 0000 0000000 000 000</t>
  </si>
  <si>
    <t>9  9 Утверждено бюджеты муниципальных районов</t>
  </si>
  <si>
    <t>103,5</t>
  </si>
  <si>
    <t>Прочие работы, услуги, всего:</t>
  </si>
  <si>
    <t>№ листа / № строки</t>
  </si>
  <si>
    <t>000 0000 0000000 000 000 08</t>
  </si>
  <si>
    <t>Мероприятия в области образования</t>
  </si>
  <si>
    <t>15100 000 0000 0000000 000 000</t>
  </si>
  <si>
    <t>10800 000 0000 0000000 000 000</t>
  </si>
  <si>
    <t>101,608</t>
  </si>
  <si>
    <t>Муниципальные служащие</t>
  </si>
  <si>
    <t>101,168</t>
  </si>
  <si>
    <t>Федеральная целевая программа "Социальное развитие села до 2013 года"</t>
  </si>
  <si>
    <t>08203 000 1004 0000000 000 000</t>
  </si>
  <si>
    <t>101,143</t>
  </si>
  <si>
    <t>услуги по страхованию</t>
  </si>
  <si>
    <t>101,257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</si>
  <si>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</si>
  <si>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101,537</t>
  </si>
  <si>
    <t>101,93</t>
  </si>
  <si>
    <t>28  Муниципальные районы % к плану на год</t>
  </si>
  <si>
    <t>103,33</t>
  </si>
  <si>
    <t>14600 000 0000 0000000 000 000</t>
  </si>
  <si>
    <t>101,322</t>
  </si>
  <si>
    <t>101,281</t>
  </si>
  <si>
    <t>07900 000 1004 5050502 000 000</t>
  </si>
  <si>
    <t>101,155</t>
  </si>
  <si>
    <t>000 0000 0000000 000 211 01</t>
  </si>
  <si>
    <t>101,469</t>
  </si>
  <si>
    <t>работникоа учреждений культуры, из них:</t>
  </si>
  <si>
    <t>педагогических работников образовательных учреждений,   из них:</t>
  </si>
  <si>
    <t>Региональные и муниципальные программы (без ФАИП)</t>
  </si>
  <si>
    <t>101,64</t>
  </si>
  <si>
    <t>на начисления на выплаты по оплате труда  - по 01 разделу</t>
  </si>
  <si>
    <t>08201 000 1004 0000000 000 000</t>
  </si>
  <si>
    <t>02514 000 0409 0000000 000 000</t>
  </si>
  <si>
    <t>10101 000 0000 0000000 000 000</t>
  </si>
  <si>
    <t>14100 000 0700 0000000 000 000</t>
  </si>
  <si>
    <t>101,408</t>
  </si>
  <si>
    <t>101,326</t>
  </si>
  <si>
    <t>101,406</t>
  </si>
  <si>
    <t>на заработную плату  - по 01 разделу в том числе:</t>
  </si>
  <si>
    <t>103,29</t>
  </si>
  <si>
    <t>уплату штрафов, пеней за несвоевременную уплату налогов и сборов, другие экономические санкции</t>
  </si>
  <si>
    <t>в том числе: Субсидии на осуществление мероприятий по обеспечению жильем граждан Российской Федерации, проживающих в сельской местности</t>
  </si>
  <si>
    <t>101,89</t>
  </si>
  <si>
    <t>10722 000 0000 0000000 000 000</t>
  </si>
  <si>
    <t>08700 000 0000 1001100 000 000</t>
  </si>
  <si>
    <t>03900 000 0702 5200900 000 000</t>
  </si>
  <si>
    <t>000 0000 0000000 000 213 08</t>
  </si>
  <si>
    <t>103,27</t>
  </si>
  <si>
    <t>Расходы по содержанию органов местного самоуправления, всего - по 01 разделу</t>
  </si>
  <si>
    <t>101,400</t>
  </si>
  <si>
    <t>101,283</t>
  </si>
  <si>
    <t>из них расходы на: заработную плату</t>
  </si>
  <si>
    <t>23701 000 0000 0000000 000 000</t>
  </si>
  <si>
    <t>101,440</t>
  </si>
  <si>
    <t>00220 000 0000 0000000 000 212</t>
  </si>
  <si>
    <t>21  21 Исполнено бюджеты муниципальных районов</t>
  </si>
  <si>
    <t>02527 000 0409 0000000 000 000</t>
  </si>
  <si>
    <t>Содержание ребенка в семье опекуна и приемной семье, а также вознаграждение, причитающееся приемному родителю</t>
  </si>
  <si>
    <t>101,404</t>
  </si>
  <si>
    <t>выплату стипендий</t>
  </si>
  <si>
    <t>Расходы, осуществляемые за счет межбюджетных трансфертов из бюджетов субъектов Российской Федерации, в том числе на:</t>
  </si>
  <si>
    <t>15110 000 0000 0000000 000 000</t>
  </si>
  <si>
    <t>09300 000 0000 0000000 000 000</t>
  </si>
  <si>
    <t>12200 000 0000 0000000 000 226</t>
  </si>
  <si>
    <t>в том числе на: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</si>
  <si>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101,324</t>
  </si>
  <si>
    <t>23720 000 0000 0000000 000 000</t>
  </si>
  <si>
    <t>00212 000 0000 0000000 000 211</t>
  </si>
  <si>
    <t>101,461</t>
  </si>
  <si>
    <t>101,26</t>
  </si>
  <si>
    <t>101,249</t>
  </si>
  <si>
    <t>000 0000 0000000 000 211 07</t>
  </si>
  <si>
    <t>12101 000 0000 0000000 000 225</t>
  </si>
  <si>
    <t>101,247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</si>
  <si>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</si>
  <si>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101,421</t>
  </si>
  <si>
    <t>101,28</t>
  </si>
  <si>
    <t>педагогических работников дошкольных образовательных учреждений,   из них:</t>
  </si>
  <si>
    <t>00800 000 0203 0013600 000 000</t>
  </si>
  <si>
    <t>103,23</t>
  </si>
  <si>
    <t>101,341</t>
  </si>
  <si>
    <t>00211 000 0000 0000000 000 211</t>
  </si>
  <si>
    <t>Расходы по содержанию органов местного самоуправления, всего - по 08 разделу</t>
  </si>
  <si>
    <t>14  14 Исполнено консолидированный бюджет субъекта РФ (средства федерального бюджета)</t>
  </si>
  <si>
    <t>в том числе: выплаты приемной семье на содержание подопечных детей</t>
  </si>
  <si>
    <t>15201 000 0000 0000000 000 000</t>
  </si>
  <si>
    <t>из них: бюджетные инвестиции (без ФАИП)</t>
  </si>
  <si>
    <t>101,459</t>
  </si>
  <si>
    <t>из них: остатки целевых средств бюджетов</t>
  </si>
  <si>
    <t>02510 000 0409 0000000 000 000</t>
  </si>
  <si>
    <t>103,6</t>
  </si>
  <si>
    <t>101,417</t>
  </si>
  <si>
    <t>в сфере общего образования,   из них:</t>
  </si>
  <si>
    <t>103,8</t>
  </si>
  <si>
    <t>12203 000 0000 0000000 000 226</t>
  </si>
  <si>
    <t>10700 000 0000 0000000 000 000</t>
  </si>
  <si>
    <t>101,457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</si>
  <si>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</si>
  <si>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</si>
  <si>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</si>
  <si>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</si>
  <si>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23702 000 0000 0000000 000 000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</si>
  <si>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</si>
  <si>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</si>
  <si>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</si>
  <si>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</si>
  <si>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</si>
  <si>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03100 000 0503 0000000 000 000</t>
  </si>
  <si>
    <t>на заработную плату  - по 08 разделу</t>
  </si>
  <si>
    <t>средняя заработная плата работников учреждений культуры</t>
  </si>
  <si>
    <t>25201 000 0000 0000000 000 000</t>
  </si>
  <si>
    <t>101,250</t>
  </si>
  <si>
    <t>101,436</t>
  </si>
  <si>
    <t>22  22 Исполнено бюджеты муниципальных районов (средства федерального бюджета)</t>
  </si>
  <si>
    <t>000 0000 0000000 000 000 07</t>
  </si>
  <si>
    <t>15101 000 0000 0000000 000 000</t>
  </si>
  <si>
    <t>10801 000 0000 0000000 000 000</t>
  </si>
  <si>
    <t>103,19</t>
  </si>
  <si>
    <t>101,455</t>
  </si>
  <si>
    <t>101,607</t>
  </si>
  <si>
    <t>25001 000 0000 0000000 000 000</t>
  </si>
  <si>
    <t>103,4</t>
  </si>
  <si>
    <t>12204 000 0000 0000000 000 226</t>
  </si>
  <si>
    <t>101,536</t>
  </si>
  <si>
    <t>08202 000 1004 0000000 000 000</t>
  </si>
  <si>
    <t>101,258</t>
  </si>
  <si>
    <t>101,593</t>
  </si>
  <si>
    <t>2  2 Утверждено консолидированный бюджет субъекта РФ (средства федерального бюджета)</t>
  </si>
  <si>
    <t>101,470</t>
  </si>
  <si>
    <t>101,538</t>
  </si>
  <si>
    <t>объем основного долга по бюджетным кредитам, привлеченным в местный бюджет, всего</t>
  </si>
  <si>
    <t>13000 000 0000 0000000 000 000</t>
  </si>
  <si>
    <t>14200 000 0800 0000000 000 000</t>
  </si>
  <si>
    <t>Прочие расходы, всего:</t>
  </si>
  <si>
    <t>101,33</t>
  </si>
  <si>
    <t>Мероприятия по обеспечению жильем иных категорий граждан на основании решений Правительства Российской Федерации</t>
  </si>
  <si>
    <t>101,98</t>
  </si>
  <si>
    <t>15120 000 0000 0000000 000 000</t>
  </si>
  <si>
    <t>00230 000 0000 0000000 000 213</t>
  </si>
  <si>
    <t>на начисления на выплаты по оплате труда  - по 08 разделу</t>
  </si>
  <si>
    <t>101,411</t>
  </si>
  <si>
    <t>бюджетные кредиты, полученные из бюджета субъекта Российской Федерации</t>
  </si>
  <si>
    <t>15001 000 0000 0000000 000 000</t>
  </si>
  <si>
    <t>12  12 Утверждено бюджеты городских и сельских поселений (средства федерального бюджета)</t>
  </si>
  <si>
    <t>прирост заработной платы</t>
  </si>
  <si>
    <t>муниципальных служащих, работников, замещающих муниципальные должности</t>
  </si>
  <si>
    <t>10100 000 0000 0000000 000 000</t>
  </si>
  <si>
    <t>101,25</t>
  </si>
  <si>
    <t>Субсидии на обеспечение жильем</t>
  </si>
  <si>
    <t>Благоустройство</t>
  </si>
  <si>
    <t>000 0000 0000000 000 213 01</t>
  </si>
  <si>
    <t>101,462</t>
  </si>
  <si>
    <t>08200 000 1004 0000000 000 000</t>
  </si>
  <si>
    <t>103,20</t>
  </si>
  <si>
    <t>101,342</t>
  </si>
  <si>
    <t>в том числе на: содержание в чистоте помещений, зданий, дворов, иного имущества</t>
  </si>
  <si>
    <t>Ежемесячное денежное вознаграждение за классное руководство</t>
  </si>
  <si>
    <t>101,244</t>
  </si>
  <si>
    <t>12206 000 0000 0000000 000 226</t>
  </si>
  <si>
    <t>12208 000 0000 0000000 000 226</t>
  </si>
  <si>
    <t>02500 000 0409 0000000 000 000</t>
  </si>
  <si>
    <t>101,409</t>
  </si>
  <si>
    <t>101,327</t>
  </si>
  <si>
    <t>13  13 Исполнено консолидированный бюджет субъекта РФ</t>
  </si>
  <si>
    <t>12340 000 0000 0000000 000 290</t>
  </si>
  <si>
    <t>Поддержка дорожного хозяйства</t>
  </si>
  <si>
    <t>средняя заработная плата педагогических работников дошкольных образовательных учреждений</t>
  </si>
  <si>
    <t>бюджетные кредиты, полученные из местного бюджета</t>
  </si>
  <si>
    <t>101,403</t>
  </si>
  <si>
    <t>12310 000 0000 0000000 000 290</t>
  </si>
  <si>
    <t>25  Консолидированный % к плану на год</t>
  </si>
  <si>
    <t>Ремонт и содержание</t>
  </si>
  <si>
    <t>на начисления на выплаты по оплате труда  - по 07 разделу</t>
  </si>
  <si>
    <t>вознаграждение приемного родителя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</si>
  <si>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</si>
  <si>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</si>
  <si>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Расходы на содержание недвижимого имущества, всего, в том числе:</t>
  </si>
  <si>
    <t>работников, переведенных на новые системы оплаты труда</t>
  </si>
  <si>
    <t>10000 000 0000 0000000 000 000</t>
  </si>
  <si>
    <t>103,24</t>
  </si>
  <si>
    <t>средняя заработная плата в сфере общего образования</t>
  </si>
  <si>
    <t>в том числе:                                                                                                       в сфере образования</t>
  </si>
  <si>
    <t>101,543</t>
  </si>
  <si>
    <t>12201 000 0000 0000000 000 226</t>
  </si>
  <si>
    <t>08100 000 1004 0000000 000 000</t>
  </si>
  <si>
    <t>24  24 Исполнено бюджеты городских и сельских поселений (средства федерального бюджета)</t>
  </si>
  <si>
    <t>10  10 Утверждено бюджеты муниципальных районов (средства федерального бюджета)</t>
  </si>
  <si>
    <t>Код показателя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</si>
  <si>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</si>
  <si>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</si>
  <si>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выплаты</t>
  </si>
  <si>
    <t>13100 000 0700 0000000 000 000</t>
  </si>
  <si>
    <t>103,22</t>
  </si>
  <si>
    <t>101,246</t>
  </si>
  <si>
    <t>12100 000 0000 0000000 000 225</t>
  </si>
  <si>
    <t>101,29</t>
  </si>
  <si>
    <t>Расходы по содержанию органов местного самоуправления, всего - по 07 разделу</t>
  </si>
  <si>
    <t>Муниципальные должности</t>
  </si>
  <si>
    <t>101,27</t>
  </si>
  <si>
    <t>000 0000 0000000 000 211 08</t>
  </si>
  <si>
    <t>101,248</t>
  </si>
  <si>
    <t>00200 000 0000 0000000 000 000</t>
  </si>
  <si>
    <t>103,26</t>
  </si>
  <si>
    <t>на заработную плату  - по 07 разделу</t>
  </si>
  <si>
    <t>10723 000 0000 0000000 000 000</t>
  </si>
  <si>
    <t>08701 000 0000 1001100 000 000</t>
  </si>
  <si>
    <t>103,28</t>
  </si>
  <si>
    <t>000 0000 0000000 000 213 07</t>
  </si>
  <si>
    <t>101,88</t>
  </si>
  <si>
    <t>02526 000 0409 0000000 000 000</t>
  </si>
  <si>
    <t>услуги в области информационных технологий</t>
  </si>
  <si>
    <t>00221 000 0000 0000000 000 212</t>
  </si>
  <si>
    <t>101,269</t>
  </si>
  <si>
    <t>капитальный ремонт и ремонт сети автомобильных дорог общего пользования и искусственных сооружений на них</t>
  </si>
  <si>
    <t>в сфере культуры и кинематографии</t>
  </si>
  <si>
    <t>101,267</t>
  </si>
  <si>
    <t>13600 000 0000 0000000 000 000</t>
  </si>
  <si>
    <t>101,401</t>
  </si>
  <si>
    <t>101,282</t>
  </si>
  <si>
    <t>справка к месячному отчету об исполнении бюджета по состоянию на 01.06.2013</t>
  </si>
  <si>
    <t>Руководитель</t>
  </si>
  <si>
    <t>Главный специалист</t>
  </si>
  <si>
    <t>Главный бухгалтер</t>
  </si>
  <si>
    <t>О.Т.Шмыкова</t>
  </si>
  <si>
    <t>Н.И.Чечурина</t>
  </si>
  <si>
    <t>В.И.Кимберг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</si>
</sst>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3">
    <font>
      <sz val="10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7">
    <xf numFmtId="0" fontId="0" fillId="0" borderId="0" xfId="0" applyAlignment="1">
      <alignment/>
    </xf>
    <xf numFmtId="0" fontId="1" fillId="0" borderId="1" xfId="0" applyBorder="1" applyAlignment="1">
      <alignment horizontal="center" vertical="top" wrapText="1"/>
    </xf>
    <xf numFmtId="0" fontId="2" fillId="0" borderId="0" xfId="0" applyAlignment="1">
      <alignment horizontal="center" wrapText="1"/>
    </xf>
    <xf numFmtId="0" fontId="2" fillId="0" borderId="0" xfId="0" applyAlignment="1">
      <alignment horizontal="left" wrapText="1"/>
    </xf>
    <xf numFmtId="167" fontId="2" fillId="0" borderId="0" xfId="0" applyAlignment="1">
      <alignment horizontal="right" wrapText="1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94">
      <selection activeCell="F108" sqref="F108"/>
    </sheetView>
  </sheetViews>
  <sheetFormatPr defaultColWidth="9.140625" defaultRowHeight="12.75"/>
  <cols>
    <col min="1" max="1" width="5.140625" style="0" customWidth="1"/>
    <col min="2" max="2" width="15.28125" style="0" customWidth="1"/>
    <col min="3" max="3" width="21.8515625" style="0" customWidth="1"/>
    <col min="4" max="18" width="12.140625" style="0" customWidth="1"/>
  </cols>
  <sheetData>
    <row r="1" spans="3:10" ht="12.75">
      <c r="C1" s="5" t="s">
        <v>272</v>
      </c>
      <c r="D1" s="5"/>
      <c r="E1" s="5"/>
      <c r="F1" s="5"/>
      <c r="G1" s="5"/>
      <c r="H1" s="5"/>
      <c r="I1" s="5"/>
      <c r="J1" s="5"/>
    </row>
    <row r="2" spans="1:18" ht="81">
      <c r="A2" s="1" t="s">
        <v>54</v>
      </c>
      <c r="B2" s="1" t="s">
        <v>240</v>
      </c>
      <c r="C2" s="1" t="s">
        <v>157</v>
      </c>
      <c r="D2" s="1" t="s">
        <v>46</v>
      </c>
      <c r="E2" s="1" t="s">
        <v>180</v>
      </c>
      <c r="F2" s="1" t="s">
        <v>51</v>
      </c>
      <c r="G2" s="1" t="s">
        <v>239</v>
      </c>
      <c r="H2" s="1" t="s">
        <v>156</v>
      </c>
      <c r="I2" s="1" t="s">
        <v>196</v>
      </c>
      <c r="J2" s="1" t="s">
        <v>216</v>
      </c>
      <c r="K2" s="1" t="s">
        <v>136</v>
      </c>
      <c r="L2" s="1" t="s">
        <v>108</v>
      </c>
      <c r="M2" s="1" t="s">
        <v>166</v>
      </c>
      <c r="N2" s="1" t="s">
        <v>227</v>
      </c>
      <c r="O2" s="1" t="s">
        <v>238</v>
      </c>
      <c r="P2" s="1" t="s">
        <v>223</v>
      </c>
      <c r="Q2" s="1" t="s">
        <v>70</v>
      </c>
      <c r="R2" s="1" t="s">
        <v>43</v>
      </c>
    </row>
    <row r="3" spans="1:18" ht="18.75">
      <c r="A3" s="2" t="s">
        <v>200</v>
      </c>
      <c r="B3" s="3" t="s">
        <v>254</v>
      </c>
      <c r="C3" s="3" t="s">
        <v>47</v>
      </c>
      <c r="D3" s="4">
        <f>ROUND(48854130,2)</f>
        <v>48854130</v>
      </c>
      <c r="E3" s="4">
        <f aca="true" t="shared" si="0" ref="E3:E10">ROUND(0,2)</f>
        <v>0</v>
      </c>
      <c r="F3" s="4">
        <f>ROUND(26399000,2)</f>
        <v>26399000</v>
      </c>
      <c r="G3" s="4">
        <f aca="true" t="shared" si="1" ref="G3:G18">ROUND(0,2)</f>
        <v>0</v>
      </c>
      <c r="H3" s="4">
        <f>ROUND(22455130,2)</f>
        <v>22455130</v>
      </c>
      <c r="I3" s="4">
        <f aca="true" t="shared" si="2" ref="I3:I10">ROUND(0,2)</f>
        <v>0</v>
      </c>
      <c r="J3" s="4">
        <f>ROUND(20634786.81,2)</f>
        <v>20634786.81</v>
      </c>
      <c r="K3" s="4">
        <f aca="true" t="shared" si="3" ref="K3:K10">ROUND(0,2)</f>
        <v>0</v>
      </c>
      <c r="L3" s="4">
        <f>ROUND(10888057.7,2)</f>
        <v>10888057.7</v>
      </c>
      <c r="M3" s="4">
        <f aca="true" t="shared" si="4" ref="M3:M18">ROUND(0,2)</f>
        <v>0</v>
      </c>
      <c r="N3" s="4">
        <f>ROUND(9746729.11,2)</f>
        <v>9746729.11</v>
      </c>
      <c r="O3" s="4">
        <f aca="true" t="shared" si="5" ref="O3:O10">ROUND(0,2)</f>
        <v>0</v>
      </c>
      <c r="P3" s="4">
        <f>ROUND(42.24,2)</f>
        <v>42.24</v>
      </c>
      <c r="Q3" s="4">
        <f>ROUND(41.24,2)</f>
        <v>41.24</v>
      </c>
      <c r="R3" s="4">
        <f>ROUND(43.41,2)</f>
        <v>43.41</v>
      </c>
    </row>
    <row r="4" spans="1:18" ht="18.75">
      <c r="A4" s="2" t="s">
        <v>122</v>
      </c>
      <c r="B4" s="3" t="s">
        <v>20</v>
      </c>
      <c r="C4" s="3" t="s">
        <v>104</v>
      </c>
      <c r="D4" s="4">
        <f>ROUND(28791365,2)</f>
        <v>28791365</v>
      </c>
      <c r="E4" s="4">
        <f t="shared" si="0"/>
        <v>0</v>
      </c>
      <c r="F4" s="4">
        <f>ROUND(16064000,2)</f>
        <v>16064000</v>
      </c>
      <c r="G4" s="4">
        <f t="shared" si="1"/>
        <v>0</v>
      </c>
      <c r="H4" s="4">
        <f>ROUND(12727365,2)</f>
        <v>12727365</v>
      </c>
      <c r="I4" s="4">
        <f t="shared" si="2"/>
        <v>0</v>
      </c>
      <c r="J4" s="4">
        <f>ROUND(12163911.89,2)</f>
        <v>12163911.89</v>
      </c>
      <c r="K4" s="4">
        <f t="shared" si="3"/>
        <v>0</v>
      </c>
      <c r="L4" s="4">
        <f>ROUND(6425752.2,2)</f>
        <v>6425752.2</v>
      </c>
      <c r="M4" s="4">
        <f t="shared" si="4"/>
        <v>0</v>
      </c>
      <c r="N4" s="4">
        <f>ROUND(5738159.69,2)</f>
        <v>5738159.69</v>
      </c>
      <c r="O4" s="4">
        <f t="shared" si="5"/>
        <v>0</v>
      </c>
      <c r="P4" s="4">
        <f>ROUND(42.25,2)</f>
        <v>42.25</v>
      </c>
      <c r="Q4" s="4">
        <f>ROUND(40,2)</f>
        <v>40</v>
      </c>
      <c r="R4" s="4">
        <f>ROUND(45.09,2)</f>
        <v>45.09</v>
      </c>
    </row>
    <row r="5" spans="1:18" ht="27.75">
      <c r="A5" s="2" t="s">
        <v>251</v>
      </c>
      <c r="B5" s="3" t="s">
        <v>134</v>
      </c>
      <c r="C5" s="3" t="s">
        <v>198</v>
      </c>
      <c r="D5" s="4">
        <f>ROUND(27712165,2)</f>
        <v>27712165</v>
      </c>
      <c r="E5" s="4">
        <f t="shared" si="0"/>
        <v>0</v>
      </c>
      <c r="F5" s="4">
        <f>ROUND(16064000,2)</f>
        <v>16064000</v>
      </c>
      <c r="G5" s="4">
        <f t="shared" si="1"/>
        <v>0</v>
      </c>
      <c r="H5" s="4">
        <f>ROUND(11648165,2)</f>
        <v>11648165</v>
      </c>
      <c r="I5" s="4">
        <f t="shared" si="2"/>
        <v>0</v>
      </c>
      <c r="J5" s="4">
        <f>ROUND(11719771.89,2)</f>
        <v>11719771.89</v>
      </c>
      <c r="K5" s="4">
        <f t="shared" si="3"/>
        <v>0</v>
      </c>
      <c r="L5" s="4">
        <f>ROUND(6425752.2,2)</f>
        <v>6425752.2</v>
      </c>
      <c r="M5" s="4">
        <f t="shared" si="4"/>
        <v>0</v>
      </c>
      <c r="N5" s="4">
        <f>ROUND(5294019.69,2)</f>
        <v>5294019.69</v>
      </c>
      <c r="O5" s="4">
        <f t="shared" si="5"/>
        <v>0</v>
      </c>
      <c r="P5" s="4">
        <f>ROUND(42.29,2)</f>
        <v>42.29</v>
      </c>
      <c r="Q5" s="4">
        <f>ROUND(40,2)</f>
        <v>40</v>
      </c>
      <c r="R5" s="4">
        <f>ROUND(45.45,2)</f>
        <v>45.45</v>
      </c>
    </row>
    <row r="6" spans="1:18" ht="18.75">
      <c r="A6" s="2" t="s">
        <v>129</v>
      </c>
      <c r="B6" s="3" t="s">
        <v>120</v>
      </c>
      <c r="C6" s="3" t="s">
        <v>230</v>
      </c>
      <c r="D6" s="4">
        <f>ROUND(1079200,2)</f>
        <v>1079200</v>
      </c>
      <c r="E6" s="4">
        <f t="shared" si="0"/>
        <v>0</v>
      </c>
      <c r="F6" s="4">
        <f>ROUND(0,2)</f>
        <v>0</v>
      </c>
      <c r="G6" s="4">
        <f t="shared" si="1"/>
        <v>0</v>
      </c>
      <c r="H6" s="4">
        <f>ROUND(1079200,2)</f>
        <v>1079200</v>
      </c>
      <c r="I6" s="4">
        <f t="shared" si="2"/>
        <v>0</v>
      </c>
      <c r="J6" s="4">
        <f>ROUND(444140,2)</f>
        <v>444140</v>
      </c>
      <c r="K6" s="4">
        <f t="shared" si="3"/>
        <v>0</v>
      </c>
      <c r="L6" s="4">
        <f>ROUND(0,2)</f>
        <v>0</v>
      </c>
      <c r="M6" s="4">
        <f t="shared" si="4"/>
        <v>0</v>
      </c>
      <c r="N6" s="4">
        <f>ROUND(444140,2)</f>
        <v>444140</v>
      </c>
      <c r="O6" s="4">
        <f t="shared" si="5"/>
        <v>0</v>
      </c>
      <c r="P6" s="4">
        <f>ROUND(41.15,2)</f>
        <v>41.15</v>
      </c>
      <c r="Q6" s="4">
        <f>ROUND(0,2)</f>
        <v>0</v>
      </c>
      <c r="R6" s="4">
        <f>ROUND(41.15,2)</f>
        <v>41.15</v>
      </c>
    </row>
    <row r="7" spans="1:18" ht="18.75">
      <c r="A7" s="2" t="s">
        <v>248</v>
      </c>
      <c r="B7" s="3" t="s">
        <v>107</v>
      </c>
      <c r="C7" s="3" t="s">
        <v>243</v>
      </c>
      <c r="D7" s="4">
        <f>ROUND(33000,2)</f>
        <v>33000</v>
      </c>
      <c r="E7" s="4">
        <f t="shared" si="0"/>
        <v>0</v>
      </c>
      <c r="F7" s="4">
        <f>ROUND(23000,2)</f>
        <v>23000</v>
      </c>
      <c r="G7" s="4">
        <f t="shared" si="1"/>
        <v>0</v>
      </c>
      <c r="H7" s="4">
        <f>ROUND(10000,2)</f>
        <v>10000</v>
      </c>
      <c r="I7" s="4">
        <f t="shared" si="2"/>
        <v>0</v>
      </c>
      <c r="J7" s="4">
        <f>ROUND(10900,2)</f>
        <v>10900</v>
      </c>
      <c r="K7" s="4">
        <f t="shared" si="3"/>
        <v>0</v>
      </c>
      <c r="L7" s="4">
        <f>ROUND(6200,2)</f>
        <v>6200</v>
      </c>
      <c r="M7" s="4">
        <f t="shared" si="4"/>
        <v>0</v>
      </c>
      <c r="N7" s="4">
        <f>ROUND(4700,2)</f>
        <v>4700</v>
      </c>
      <c r="O7" s="4">
        <f t="shared" si="5"/>
        <v>0</v>
      </c>
      <c r="P7" s="4">
        <f>ROUND(33.03,2)</f>
        <v>33.03</v>
      </c>
      <c r="Q7" s="4">
        <f>ROUND(26.96,2)</f>
        <v>26.96</v>
      </c>
      <c r="R7" s="4">
        <f>ROUND(47,2)</f>
        <v>47</v>
      </c>
    </row>
    <row r="8" spans="1:18" ht="27.75">
      <c r="A8" s="2" t="s">
        <v>14</v>
      </c>
      <c r="B8" s="3" t="s">
        <v>264</v>
      </c>
      <c r="C8" s="3" t="s">
        <v>198</v>
      </c>
      <c r="D8" s="4">
        <f>ROUND(33000,2)</f>
        <v>33000</v>
      </c>
      <c r="E8" s="4">
        <f t="shared" si="0"/>
        <v>0</v>
      </c>
      <c r="F8" s="4">
        <f>ROUND(23000,2)</f>
        <v>23000</v>
      </c>
      <c r="G8" s="4">
        <f t="shared" si="1"/>
        <v>0</v>
      </c>
      <c r="H8" s="4">
        <f>ROUND(10000,2)</f>
        <v>10000</v>
      </c>
      <c r="I8" s="4">
        <f t="shared" si="2"/>
        <v>0</v>
      </c>
      <c r="J8" s="4">
        <f>ROUND(10900,2)</f>
        <v>10900</v>
      </c>
      <c r="K8" s="4">
        <f t="shared" si="3"/>
        <v>0</v>
      </c>
      <c r="L8" s="4">
        <f>ROUND(6200,2)</f>
        <v>6200</v>
      </c>
      <c r="M8" s="4">
        <f t="shared" si="4"/>
        <v>0</v>
      </c>
      <c r="N8" s="4">
        <f>ROUND(4700,2)</f>
        <v>4700</v>
      </c>
      <c r="O8" s="4">
        <f t="shared" si="5"/>
        <v>0</v>
      </c>
      <c r="P8" s="4">
        <f>ROUND(33.03,2)</f>
        <v>33.03</v>
      </c>
      <c r="Q8" s="4">
        <f>ROUND(26.96,2)</f>
        <v>26.96</v>
      </c>
      <c r="R8" s="4">
        <f>ROUND(47,2)</f>
        <v>47</v>
      </c>
    </row>
    <row r="9" spans="1:18" ht="18.75">
      <c r="A9" s="2" t="s">
        <v>34</v>
      </c>
      <c r="B9" s="3" t="s">
        <v>191</v>
      </c>
      <c r="C9" s="3" t="s">
        <v>49</v>
      </c>
      <c r="D9" s="4">
        <f>ROUND(8647900,2)</f>
        <v>8647900</v>
      </c>
      <c r="E9" s="4">
        <f t="shared" si="0"/>
        <v>0</v>
      </c>
      <c r="F9" s="4">
        <f>ROUND(4854000,2)</f>
        <v>4854000</v>
      </c>
      <c r="G9" s="4">
        <f t="shared" si="1"/>
        <v>0</v>
      </c>
      <c r="H9" s="4">
        <f>ROUND(3793900,2)</f>
        <v>3793900</v>
      </c>
      <c r="I9" s="4">
        <f t="shared" si="2"/>
        <v>0</v>
      </c>
      <c r="J9" s="4">
        <f>ROUND(3112239.87,2)</f>
        <v>3112239.87</v>
      </c>
      <c r="K9" s="4">
        <f t="shared" si="3"/>
        <v>0</v>
      </c>
      <c r="L9" s="4">
        <f>ROUND(1768707.97,2)</f>
        <v>1768707.97</v>
      </c>
      <c r="M9" s="4">
        <f t="shared" si="4"/>
        <v>0</v>
      </c>
      <c r="N9" s="4">
        <f>ROUND(1343531.9,2)</f>
        <v>1343531.9</v>
      </c>
      <c r="O9" s="4">
        <f t="shared" si="5"/>
        <v>0</v>
      </c>
      <c r="P9" s="4">
        <f>ROUND(35.99,2)</f>
        <v>35.99</v>
      </c>
      <c r="Q9" s="4">
        <f>ROUND(36.44,2)</f>
        <v>36.44</v>
      </c>
      <c r="R9" s="4">
        <f>ROUND(35.41,2)</f>
        <v>35.41</v>
      </c>
    </row>
    <row r="10" spans="1:18" ht="27.75">
      <c r="A10" s="2" t="s">
        <v>187</v>
      </c>
      <c r="B10" s="3" t="s">
        <v>48</v>
      </c>
      <c r="C10" s="3" t="s">
        <v>198</v>
      </c>
      <c r="D10" s="4">
        <f>ROUND(8647900,2)</f>
        <v>8647900</v>
      </c>
      <c r="E10" s="4">
        <f t="shared" si="0"/>
        <v>0</v>
      </c>
      <c r="F10" s="4">
        <f>ROUND(4854000,2)</f>
        <v>4854000</v>
      </c>
      <c r="G10" s="4">
        <f t="shared" si="1"/>
        <v>0</v>
      </c>
      <c r="H10" s="4">
        <f>ROUND(3793900,2)</f>
        <v>3793900</v>
      </c>
      <c r="I10" s="4">
        <f t="shared" si="2"/>
        <v>0</v>
      </c>
      <c r="J10" s="4">
        <f>ROUND(3112239.87,2)</f>
        <v>3112239.87</v>
      </c>
      <c r="K10" s="4">
        <f t="shared" si="3"/>
        <v>0</v>
      </c>
      <c r="L10" s="4">
        <f>ROUND(1768707.97,2)</f>
        <v>1768707.97</v>
      </c>
      <c r="M10" s="4">
        <f t="shared" si="4"/>
        <v>0</v>
      </c>
      <c r="N10" s="4">
        <f>ROUND(1343531.9,2)</f>
        <v>1343531.9</v>
      </c>
      <c r="O10" s="4">
        <f t="shared" si="5"/>
        <v>0</v>
      </c>
      <c r="P10" s="4">
        <f>ROUND(35.99,2)</f>
        <v>35.99</v>
      </c>
      <c r="Q10" s="4">
        <f>ROUND(36.44,2)</f>
        <v>36.44</v>
      </c>
      <c r="R10" s="4">
        <f>ROUND(35.41,2)</f>
        <v>35.41</v>
      </c>
    </row>
    <row r="11" spans="1:18" ht="36.75">
      <c r="A11" s="2" t="s">
        <v>82</v>
      </c>
      <c r="B11" s="3" t="s">
        <v>131</v>
      </c>
      <c r="C11" s="3" t="s">
        <v>26</v>
      </c>
      <c r="D11" s="4">
        <f>ROUND(1174200,2)</f>
        <v>1174200</v>
      </c>
      <c r="E11" s="4">
        <f>ROUND(1174200,2)</f>
        <v>1174200</v>
      </c>
      <c r="F11" s="4">
        <f aca="true" t="shared" si="6" ref="F11:F18">ROUND(0,2)</f>
        <v>0</v>
      </c>
      <c r="G11" s="4">
        <f t="shared" si="1"/>
        <v>0</v>
      </c>
      <c r="H11" s="4">
        <f>ROUND(1174200,2)</f>
        <v>1174200</v>
      </c>
      <c r="I11" s="4">
        <f>ROUND(1174200,2)</f>
        <v>1174200</v>
      </c>
      <c r="J11" s="4">
        <f>ROUND(395986.34,2)</f>
        <v>395986.34</v>
      </c>
      <c r="K11" s="4">
        <f>ROUND(395986.34,2)</f>
        <v>395986.34</v>
      </c>
      <c r="L11" s="4">
        <f aca="true" t="shared" si="7" ref="L11:L18">ROUND(0,2)</f>
        <v>0</v>
      </c>
      <c r="M11" s="4">
        <f t="shared" si="4"/>
        <v>0</v>
      </c>
      <c r="N11" s="4">
        <f>ROUND(395986.34,2)</f>
        <v>395986.34</v>
      </c>
      <c r="O11" s="4">
        <f>ROUND(395986.34,2)</f>
        <v>395986.34</v>
      </c>
      <c r="P11" s="4">
        <f>ROUND(33.72,2)</f>
        <v>33.72</v>
      </c>
      <c r="Q11" s="4">
        <f aca="true" t="shared" si="8" ref="Q11:Q18">ROUND(0,2)</f>
        <v>0</v>
      </c>
      <c r="R11" s="4">
        <f>ROUND(33.72,2)</f>
        <v>33.72</v>
      </c>
    </row>
    <row r="12" spans="1:18" ht="18.75">
      <c r="A12" s="2" t="s">
        <v>261</v>
      </c>
      <c r="B12" s="3" t="s">
        <v>213</v>
      </c>
      <c r="C12" s="3" t="s">
        <v>218</v>
      </c>
      <c r="D12" s="4">
        <f>ROUND(5177500,2)</f>
        <v>5177500</v>
      </c>
      <c r="E12" s="4">
        <f aca="true" t="shared" si="9" ref="E12:E18">ROUND(0,2)</f>
        <v>0</v>
      </c>
      <c r="F12" s="4">
        <f t="shared" si="6"/>
        <v>0</v>
      </c>
      <c r="G12" s="4">
        <f t="shared" si="1"/>
        <v>0</v>
      </c>
      <c r="H12" s="4">
        <f>ROUND(5177500,2)</f>
        <v>5177500</v>
      </c>
      <c r="I12" s="4">
        <f aca="true" t="shared" si="10" ref="I12:K17">ROUND(0,2)</f>
        <v>0</v>
      </c>
      <c r="J12" s="4">
        <f t="shared" si="10"/>
        <v>0</v>
      </c>
      <c r="K12" s="4">
        <f t="shared" si="10"/>
        <v>0</v>
      </c>
      <c r="L12" s="4">
        <f t="shared" si="7"/>
        <v>0</v>
      </c>
      <c r="M12" s="4">
        <f t="shared" si="4"/>
        <v>0</v>
      </c>
      <c r="N12" s="4">
        <f aca="true" t="shared" si="11" ref="N12:P17">ROUND(0,2)</f>
        <v>0</v>
      </c>
      <c r="O12" s="4">
        <f t="shared" si="11"/>
        <v>0</v>
      </c>
      <c r="P12" s="4">
        <f t="shared" si="11"/>
        <v>0</v>
      </c>
      <c r="Q12" s="4">
        <f t="shared" si="8"/>
        <v>0</v>
      </c>
      <c r="R12" s="4">
        <f aca="true" t="shared" si="12" ref="R12:R17">ROUND(0,2)</f>
        <v>0</v>
      </c>
    </row>
    <row r="13" spans="1:18" ht="63.75">
      <c r="A13" s="2" t="s">
        <v>95</v>
      </c>
      <c r="B13" s="3" t="s">
        <v>142</v>
      </c>
      <c r="C13" s="3" t="s">
        <v>241</v>
      </c>
      <c r="D13" s="4">
        <f>ROUND(5177500,2)</f>
        <v>5177500</v>
      </c>
      <c r="E13" s="4">
        <f t="shared" si="9"/>
        <v>0</v>
      </c>
      <c r="F13" s="4">
        <f t="shared" si="6"/>
        <v>0</v>
      </c>
      <c r="G13" s="4">
        <f t="shared" si="1"/>
        <v>0</v>
      </c>
      <c r="H13" s="4">
        <f>ROUND(5177500,2)</f>
        <v>5177500</v>
      </c>
      <c r="I13" s="4">
        <f t="shared" si="10"/>
        <v>0</v>
      </c>
      <c r="J13" s="4">
        <f t="shared" si="10"/>
        <v>0</v>
      </c>
      <c r="K13" s="4">
        <f t="shared" si="10"/>
        <v>0</v>
      </c>
      <c r="L13" s="4">
        <f t="shared" si="7"/>
        <v>0</v>
      </c>
      <c r="M13" s="4">
        <f t="shared" si="4"/>
        <v>0</v>
      </c>
      <c r="N13" s="4">
        <f t="shared" si="11"/>
        <v>0</v>
      </c>
      <c r="O13" s="4">
        <f t="shared" si="11"/>
        <v>0</v>
      </c>
      <c r="P13" s="4">
        <f t="shared" si="11"/>
        <v>0</v>
      </c>
      <c r="Q13" s="4">
        <f t="shared" si="8"/>
        <v>0</v>
      </c>
      <c r="R13" s="4">
        <f t="shared" si="12"/>
        <v>0</v>
      </c>
    </row>
    <row r="14" spans="1:18" ht="18.75">
      <c r="A14" s="2" t="s">
        <v>69</v>
      </c>
      <c r="B14" s="3" t="s">
        <v>85</v>
      </c>
      <c r="C14" s="3" t="s">
        <v>224</v>
      </c>
      <c r="D14" s="4">
        <f>ROUND(5177500,2)</f>
        <v>5177500</v>
      </c>
      <c r="E14" s="4">
        <f t="shared" si="9"/>
        <v>0</v>
      </c>
      <c r="F14" s="4">
        <f t="shared" si="6"/>
        <v>0</v>
      </c>
      <c r="G14" s="4">
        <f t="shared" si="1"/>
        <v>0</v>
      </c>
      <c r="H14" s="4">
        <f>ROUND(5177500,2)</f>
        <v>5177500</v>
      </c>
      <c r="I14" s="4">
        <f t="shared" si="10"/>
        <v>0</v>
      </c>
      <c r="J14" s="4">
        <f t="shared" si="10"/>
        <v>0</v>
      </c>
      <c r="K14" s="4">
        <f t="shared" si="10"/>
        <v>0</v>
      </c>
      <c r="L14" s="4">
        <f t="shared" si="7"/>
        <v>0</v>
      </c>
      <c r="M14" s="4">
        <f t="shared" si="4"/>
        <v>0</v>
      </c>
      <c r="N14" s="4">
        <f t="shared" si="11"/>
        <v>0</v>
      </c>
      <c r="O14" s="4">
        <f t="shared" si="11"/>
        <v>0</v>
      </c>
      <c r="P14" s="4">
        <f t="shared" si="11"/>
        <v>0</v>
      </c>
      <c r="Q14" s="4">
        <f t="shared" si="8"/>
        <v>0</v>
      </c>
      <c r="R14" s="4">
        <f t="shared" si="12"/>
        <v>0</v>
      </c>
    </row>
    <row r="15" spans="1:18" ht="45.75">
      <c r="A15" s="2" t="s">
        <v>37</v>
      </c>
      <c r="B15" s="3" t="s">
        <v>1</v>
      </c>
      <c r="C15" s="3" t="s">
        <v>113</v>
      </c>
      <c r="D15" s="4">
        <f>ROUND(5159500,2)</f>
        <v>5159500</v>
      </c>
      <c r="E15" s="4">
        <f t="shared" si="9"/>
        <v>0</v>
      </c>
      <c r="F15" s="4">
        <f t="shared" si="6"/>
        <v>0</v>
      </c>
      <c r="G15" s="4">
        <f t="shared" si="1"/>
        <v>0</v>
      </c>
      <c r="H15" s="4">
        <f>ROUND(5159500,2)</f>
        <v>5159500</v>
      </c>
      <c r="I15" s="4">
        <f t="shared" si="10"/>
        <v>0</v>
      </c>
      <c r="J15" s="4">
        <f t="shared" si="10"/>
        <v>0</v>
      </c>
      <c r="K15" s="4">
        <f t="shared" si="10"/>
        <v>0</v>
      </c>
      <c r="L15" s="4">
        <f t="shared" si="7"/>
        <v>0</v>
      </c>
      <c r="M15" s="4">
        <f t="shared" si="4"/>
        <v>0</v>
      </c>
      <c r="N15" s="4">
        <f t="shared" si="11"/>
        <v>0</v>
      </c>
      <c r="O15" s="4">
        <f t="shared" si="11"/>
        <v>0</v>
      </c>
      <c r="P15" s="4">
        <f t="shared" si="11"/>
        <v>0</v>
      </c>
      <c r="Q15" s="4">
        <f t="shared" si="8"/>
        <v>0</v>
      </c>
      <c r="R15" s="4">
        <f t="shared" si="12"/>
        <v>0</v>
      </c>
    </row>
    <row r="16" spans="1:18" ht="45.75">
      <c r="A16" s="2" t="s">
        <v>189</v>
      </c>
      <c r="B16" s="3" t="s">
        <v>262</v>
      </c>
      <c r="C16" s="3" t="s">
        <v>266</v>
      </c>
      <c r="D16" s="4">
        <f>ROUND(3353900,2)</f>
        <v>3353900</v>
      </c>
      <c r="E16" s="4">
        <f t="shared" si="9"/>
        <v>0</v>
      </c>
      <c r="F16" s="4">
        <f t="shared" si="6"/>
        <v>0</v>
      </c>
      <c r="G16" s="4">
        <f t="shared" si="1"/>
        <v>0</v>
      </c>
      <c r="H16" s="4">
        <f>ROUND(3353900,2)</f>
        <v>3353900</v>
      </c>
      <c r="I16" s="4">
        <f t="shared" si="10"/>
        <v>0</v>
      </c>
      <c r="J16" s="4">
        <f t="shared" si="10"/>
        <v>0</v>
      </c>
      <c r="K16" s="4">
        <f t="shared" si="10"/>
        <v>0</v>
      </c>
      <c r="L16" s="4">
        <f t="shared" si="7"/>
        <v>0</v>
      </c>
      <c r="M16" s="4">
        <f t="shared" si="4"/>
        <v>0</v>
      </c>
      <c r="N16" s="4">
        <f t="shared" si="11"/>
        <v>0</v>
      </c>
      <c r="O16" s="4">
        <f t="shared" si="11"/>
        <v>0</v>
      </c>
      <c r="P16" s="4">
        <f t="shared" si="11"/>
        <v>0</v>
      </c>
      <c r="Q16" s="4">
        <f t="shared" si="8"/>
        <v>0</v>
      </c>
      <c r="R16" s="4">
        <f t="shared" si="12"/>
        <v>0</v>
      </c>
    </row>
    <row r="17" spans="1:18" ht="54.75">
      <c r="A17" s="2" t="s">
        <v>32</v>
      </c>
      <c r="B17" s="3" t="s">
        <v>109</v>
      </c>
      <c r="C17" s="3" t="s">
        <v>242</v>
      </c>
      <c r="D17" s="4">
        <f>ROUND(1805600,2)</f>
        <v>1805600</v>
      </c>
      <c r="E17" s="4">
        <f t="shared" si="9"/>
        <v>0</v>
      </c>
      <c r="F17" s="4">
        <f t="shared" si="6"/>
        <v>0</v>
      </c>
      <c r="G17" s="4">
        <f t="shared" si="1"/>
        <v>0</v>
      </c>
      <c r="H17" s="4">
        <f>ROUND(1805600,2)</f>
        <v>1805600</v>
      </c>
      <c r="I17" s="4">
        <f t="shared" si="10"/>
        <v>0</v>
      </c>
      <c r="J17" s="4">
        <f t="shared" si="10"/>
        <v>0</v>
      </c>
      <c r="K17" s="4">
        <f t="shared" si="10"/>
        <v>0</v>
      </c>
      <c r="L17" s="4">
        <f t="shared" si="7"/>
        <v>0</v>
      </c>
      <c r="M17" s="4">
        <f t="shared" si="4"/>
        <v>0</v>
      </c>
      <c r="N17" s="4">
        <f t="shared" si="11"/>
        <v>0</v>
      </c>
      <c r="O17" s="4">
        <f t="shared" si="11"/>
        <v>0</v>
      </c>
      <c r="P17" s="4">
        <f t="shared" si="11"/>
        <v>0</v>
      </c>
      <c r="Q17" s="4">
        <f t="shared" si="8"/>
        <v>0</v>
      </c>
      <c r="R17" s="4">
        <f t="shared" si="12"/>
        <v>0</v>
      </c>
    </row>
    <row r="18" spans="1:18" ht="18.75">
      <c r="A18" s="2" t="s">
        <v>64</v>
      </c>
      <c r="B18" s="3" t="s">
        <v>160</v>
      </c>
      <c r="C18" s="3" t="s">
        <v>202</v>
      </c>
      <c r="D18" s="4">
        <f>ROUND(3581660,2)</f>
        <v>3581660</v>
      </c>
      <c r="E18" s="4">
        <f t="shared" si="9"/>
        <v>0</v>
      </c>
      <c r="F18" s="4">
        <f t="shared" si="6"/>
        <v>0</v>
      </c>
      <c r="G18" s="4">
        <f t="shared" si="1"/>
        <v>0</v>
      </c>
      <c r="H18" s="4">
        <f>ROUND(3581660,2)</f>
        <v>3581660</v>
      </c>
      <c r="I18" s="4">
        <f aca="true" t="shared" si="13" ref="I18:I49">ROUND(0,2)</f>
        <v>0</v>
      </c>
      <c r="J18" s="4">
        <f>ROUND(1822379.77,2)</f>
        <v>1822379.77</v>
      </c>
      <c r="K18" s="4">
        <f>ROUND(0,2)</f>
        <v>0</v>
      </c>
      <c r="L18" s="4">
        <f t="shared" si="7"/>
        <v>0</v>
      </c>
      <c r="M18" s="4">
        <f t="shared" si="4"/>
        <v>0</v>
      </c>
      <c r="N18" s="4">
        <f>ROUND(1822379.77,2)</f>
        <v>1822379.77</v>
      </c>
      <c r="O18" s="4">
        <f aca="true" t="shared" si="14" ref="O18:O37">ROUND(0,2)</f>
        <v>0</v>
      </c>
      <c r="P18" s="4">
        <f>ROUND(50.88,2)</f>
        <v>50.88</v>
      </c>
      <c r="Q18" s="4">
        <f t="shared" si="8"/>
        <v>0</v>
      </c>
      <c r="R18" s="4">
        <f>ROUND(50.88,2)</f>
        <v>50.88</v>
      </c>
    </row>
    <row r="19" spans="1:18" ht="18.75">
      <c r="A19" s="2" t="s">
        <v>76</v>
      </c>
      <c r="B19" s="3" t="s">
        <v>22</v>
      </c>
      <c r="C19" s="3" t="s">
        <v>56</v>
      </c>
      <c r="D19" s="4">
        <f aca="true" t="shared" si="15" ref="D19:G20">ROUND(1939000,2)</f>
        <v>1939000</v>
      </c>
      <c r="E19" s="4">
        <f t="shared" si="15"/>
        <v>1939000</v>
      </c>
      <c r="F19" s="4">
        <f t="shared" si="15"/>
        <v>1939000</v>
      </c>
      <c r="G19" s="4">
        <f t="shared" si="15"/>
        <v>1939000</v>
      </c>
      <c r="H19" s="4">
        <f aca="true" t="shared" si="16" ref="H19:H31">ROUND(0,2)</f>
        <v>0</v>
      </c>
      <c r="I19" s="4">
        <f t="shared" si="13"/>
        <v>0</v>
      </c>
      <c r="J19" s="4">
        <f aca="true" t="shared" si="17" ref="J19:M20">ROUND(543792.35,2)</f>
        <v>543792.35</v>
      </c>
      <c r="K19" s="4">
        <f t="shared" si="17"/>
        <v>543792.35</v>
      </c>
      <c r="L19" s="4">
        <f t="shared" si="17"/>
        <v>543792.35</v>
      </c>
      <c r="M19" s="4">
        <f t="shared" si="17"/>
        <v>543792.35</v>
      </c>
      <c r="N19" s="4">
        <f aca="true" t="shared" si="18" ref="N19:N33">ROUND(0,2)</f>
        <v>0</v>
      </c>
      <c r="O19" s="4">
        <f t="shared" si="14"/>
        <v>0</v>
      </c>
      <c r="P19" s="4">
        <f>ROUND(28.04,2)</f>
        <v>28.04</v>
      </c>
      <c r="Q19" s="4">
        <f>ROUND(28.04,2)</f>
        <v>28.04</v>
      </c>
      <c r="R19" s="4">
        <f aca="true" t="shared" si="19" ref="R19:R51">ROUND(0,2)</f>
        <v>0</v>
      </c>
    </row>
    <row r="20" spans="1:18" ht="27.75">
      <c r="A20" s="2" t="s">
        <v>61</v>
      </c>
      <c r="B20" s="3" t="s">
        <v>98</v>
      </c>
      <c r="C20" s="3" t="s">
        <v>209</v>
      </c>
      <c r="D20" s="4">
        <f t="shared" si="15"/>
        <v>1939000</v>
      </c>
      <c r="E20" s="4">
        <f t="shared" si="15"/>
        <v>1939000</v>
      </c>
      <c r="F20" s="4">
        <f t="shared" si="15"/>
        <v>1939000</v>
      </c>
      <c r="G20" s="4">
        <f t="shared" si="15"/>
        <v>1939000</v>
      </c>
      <c r="H20" s="4">
        <f t="shared" si="16"/>
        <v>0</v>
      </c>
      <c r="I20" s="4">
        <f t="shared" si="13"/>
        <v>0</v>
      </c>
      <c r="J20" s="4">
        <f t="shared" si="17"/>
        <v>543792.35</v>
      </c>
      <c r="K20" s="4">
        <f t="shared" si="17"/>
        <v>543792.35</v>
      </c>
      <c r="L20" s="4">
        <f t="shared" si="17"/>
        <v>543792.35</v>
      </c>
      <c r="M20" s="4">
        <f t="shared" si="17"/>
        <v>543792.35</v>
      </c>
      <c r="N20" s="4">
        <f t="shared" si="18"/>
        <v>0</v>
      </c>
      <c r="O20" s="4">
        <f t="shared" si="14"/>
        <v>0</v>
      </c>
      <c r="P20" s="4">
        <f>ROUND(28.04,2)</f>
        <v>28.04</v>
      </c>
      <c r="Q20" s="4">
        <f>ROUND(28.04,2)</f>
        <v>28.04</v>
      </c>
      <c r="R20" s="4">
        <f t="shared" si="19"/>
        <v>0</v>
      </c>
    </row>
    <row r="21" spans="1:18" ht="45.75">
      <c r="A21" s="2" t="s">
        <v>210</v>
      </c>
      <c r="B21" s="3" t="s">
        <v>75</v>
      </c>
      <c r="C21" s="3" t="s">
        <v>0</v>
      </c>
      <c r="D21" s="4">
        <f>ROUND(82000,2)</f>
        <v>82000</v>
      </c>
      <c r="E21" s="4">
        <f aca="true" t="shared" si="20" ref="E21:E26">ROUND(0,2)</f>
        <v>0</v>
      </c>
      <c r="F21" s="4">
        <f>ROUND(82000,2)</f>
        <v>82000</v>
      </c>
      <c r="G21" s="4">
        <f aca="true" t="shared" si="21" ref="G21:G26">ROUND(0,2)</f>
        <v>0</v>
      </c>
      <c r="H21" s="4">
        <f t="shared" si="16"/>
        <v>0</v>
      </c>
      <c r="I21" s="4">
        <f t="shared" si="13"/>
        <v>0</v>
      </c>
      <c r="J21" s="4">
        <f>ROUND(38580.54,2)</f>
        <v>38580.54</v>
      </c>
      <c r="K21" s="4">
        <f aca="true" t="shared" si="22" ref="K21:K37">ROUND(0,2)</f>
        <v>0</v>
      </c>
      <c r="L21" s="4">
        <f>ROUND(38580.54,2)</f>
        <v>38580.54</v>
      </c>
      <c r="M21" s="4">
        <f aca="true" t="shared" si="23" ref="M21:M37">ROUND(0,2)</f>
        <v>0</v>
      </c>
      <c r="N21" s="4">
        <f t="shared" si="18"/>
        <v>0</v>
      </c>
      <c r="O21" s="4">
        <f t="shared" si="14"/>
        <v>0</v>
      </c>
      <c r="P21" s="4">
        <f>ROUND(47.05,2)</f>
        <v>47.05</v>
      </c>
      <c r="Q21" s="4">
        <f>ROUND(47.05,2)</f>
        <v>47.05</v>
      </c>
      <c r="R21" s="4">
        <f t="shared" si="19"/>
        <v>0</v>
      </c>
    </row>
    <row r="22" spans="1:18" ht="72.75">
      <c r="A22" s="2" t="s">
        <v>246</v>
      </c>
      <c r="B22" s="3" t="s">
        <v>237</v>
      </c>
      <c r="C22" s="3" t="s">
        <v>42</v>
      </c>
      <c r="D22" s="4">
        <f>ROUND(692000,2)</f>
        <v>692000</v>
      </c>
      <c r="E22" s="4">
        <f t="shared" si="20"/>
        <v>0</v>
      </c>
      <c r="F22" s="4">
        <f>ROUND(692000,2)</f>
        <v>692000</v>
      </c>
      <c r="G22" s="4">
        <f t="shared" si="21"/>
        <v>0</v>
      </c>
      <c r="H22" s="4">
        <f t="shared" si="16"/>
        <v>0</v>
      </c>
      <c r="I22" s="4">
        <f t="shared" si="13"/>
        <v>0</v>
      </c>
      <c r="J22" s="4">
        <f>ROUND(141717.02,2)</f>
        <v>141717.02</v>
      </c>
      <c r="K22" s="4">
        <f t="shared" si="22"/>
        <v>0</v>
      </c>
      <c r="L22" s="4">
        <f>ROUND(141717.02,2)</f>
        <v>141717.02</v>
      </c>
      <c r="M22" s="4">
        <f t="shared" si="23"/>
        <v>0</v>
      </c>
      <c r="N22" s="4">
        <f t="shared" si="18"/>
        <v>0</v>
      </c>
      <c r="O22" s="4">
        <f t="shared" si="14"/>
        <v>0</v>
      </c>
      <c r="P22" s="4">
        <f>ROUND(20.48,2)</f>
        <v>20.48</v>
      </c>
      <c r="Q22" s="4">
        <f>ROUND(20.48,2)</f>
        <v>20.48</v>
      </c>
      <c r="R22" s="4">
        <f t="shared" si="19"/>
        <v>0</v>
      </c>
    </row>
    <row r="23" spans="1:18" ht="45.75">
      <c r="A23" s="2" t="s">
        <v>126</v>
      </c>
      <c r="B23" s="3" t="s">
        <v>205</v>
      </c>
      <c r="C23" s="3" t="s">
        <v>110</v>
      </c>
      <c r="D23" s="4">
        <f>ROUND(4639000,2)</f>
        <v>4639000</v>
      </c>
      <c r="E23" s="4">
        <f t="shared" si="20"/>
        <v>0</v>
      </c>
      <c r="F23" s="4">
        <f>ROUND(4639000,2)</f>
        <v>4639000</v>
      </c>
      <c r="G23" s="4">
        <f t="shared" si="21"/>
        <v>0</v>
      </c>
      <c r="H23" s="4">
        <f t="shared" si="16"/>
        <v>0</v>
      </c>
      <c r="I23" s="4">
        <f t="shared" si="13"/>
        <v>0</v>
      </c>
      <c r="J23" s="4">
        <f>ROUND(1418125.59,2)</f>
        <v>1418125.59</v>
      </c>
      <c r="K23" s="4">
        <f t="shared" si="22"/>
        <v>0</v>
      </c>
      <c r="L23" s="4">
        <f>ROUND(1418125.59,2)</f>
        <v>1418125.59</v>
      </c>
      <c r="M23" s="4">
        <f t="shared" si="23"/>
        <v>0</v>
      </c>
      <c r="N23" s="4">
        <f t="shared" si="18"/>
        <v>0</v>
      </c>
      <c r="O23" s="4">
        <f t="shared" si="14"/>
        <v>0</v>
      </c>
      <c r="P23" s="4">
        <f>ROUND(30.57,2)</f>
        <v>30.57</v>
      </c>
      <c r="Q23" s="4">
        <f>ROUND(30.57,2)</f>
        <v>30.57</v>
      </c>
      <c r="R23" s="4">
        <f t="shared" si="19"/>
        <v>0</v>
      </c>
    </row>
    <row r="24" spans="1:18" ht="27.75">
      <c r="A24" s="2" t="s">
        <v>253</v>
      </c>
      <c r="B24" s="3" t="s">
        <v>84</v>
      </c>
      <c r="C24" s="3" t="s">
        <v>137</v>
      </c>
      <c r="D24" s="4">
        <f>ROUND(788000,2)</f>
        <v>788000</v>
      </c>
      <c r="E24" s="4">
        <f t="shared" si="20"/>
        <v>0</v>
      </c>
      <c r="F24" s="4">
        <f>ROUND(788000,2)</f>
        <v>788000</v>
      </c>
      <c r="G24" s="4">
        <f t="shared" si="21"/>
        <v>0</v>
      </c>
      <c r="H24" s="4">
        <f t="shared" si="16"/>
        <v>0</v>
      </c>
      <c r="I24" s="4">
        <f t="shared" si="13"/>
        <v>0</v>
      </c>
      <c r="J24" s="4">
        <f>ROUND(208425,2)</f>
        <v>208425</v>
      </c>
      <c r="K24" s="4">
        <f t="shared" si="22"/>
        <v>0</v>
      </c>
      <c r="L24" s="4">
        <f>ROUND(208425,2)</f>
        <v>208425</v>
      </c>
      <c r="M24" s="4">
        <f t="shared" si="23"/>
        <v>0</v>
      </c>
      <c r="N24" s="4">
        <f t="shared" si="18"/>
        <v>0</v>
      </c>
      <c r="O24" s="4">
        <f t="shared" si="14"/>
        <v>0</v>
      </c>
      <c r="P24" s="4">
        <f>ROUND(26.45,2)</f>
        <v>26.45</v>
      </c>
      <c r="Q24" s="4">
        <f>ROUND(26.45,2)</f>
        <v>26.45</v>
      </c>
      <c r="R24" s="4">
        <f t="shared" si="19"/>
        <v>0</v>
      </c>
    </row>
    <row r="25" spans="1:18" ht="18.75">
      <c r="A25" s="2" t="s">
        <v>123</v>
      </c>
      <c r="B25" s="3" t="s">
        <v>177</v>
      </c>
      <c r="C25" s="3" t="s">
        <v>226</v>
      </c>
      <c r="D25" s="4">
        <f>ROUND(1081000,2)</f>
        <v>1081000</v>
      </c>
      <c r="E25" s="4">
        <f t="shared" si="20"/>
        <v>0</v>
      </c>
      <c r="F25" s="4">
        <f>ROUND(1081000,2)</f>
        <v>1081000</v>
      </c>
      <c r="G25" s="4">
        <f t="shared" si="21"/>
        <v>0</v>
      </c>
      <c r="H25" s="4">
        <f t="shared" si="16"/>
        <v>0</v>
      </c>
      <c r="I25" s="4">
        <f t="shared" si="13"/>
        <v>0</v>
      </c>
      <c r="J25" s="4">
        <f>ROUND(317362.55,2)</f>
        <v>317362.55</v>
      </c>
      <c r="K25" s="4">
        <f t="shared" si="22"/>
        <v>0</v>
      </c>
      <c r="L25" s="4">
        <f>ROUND(317362.55,2)</f>
        <v>317362.55</v>
      </c>
      <c r="M25" s="4">
        <f t="shared" si="23"/>
        <v>0</v>
      </c>
      <c r="N25" s="4">
        <f t="shared" si="18"/>
        <v>0</v>
      </c>
      <c r="O25" s="4">
        <f t="shared" si="14"/>
        <v>0</v>
      </c>
      <c r="P25" s="4">
        <f>ROUND(29.36,2)</f>
        <v>29.36</v>
      </c>
      <c r="Q25" s="4">
        <f>ROUND(29.36,2)</f>
        <v>29.36</v>
      </c>
      <c r="R25" s="4">
        <f t="shared" si="19"/>
        <v>0</v>
      </c>
    </row>
    <row r="26" spans="1:18" ht="18.75">
      <c r="A26" s="2" t="s">
        <v>164</v>
      </c>
      <c r="B26" s="3" t="s">
        <v>63</v>
      </c>
      <c r="C26" s="3" t="s">
        <v>150</v>
      </c>
      <c r="D26" s="4">
        <f>ROUND(2770000,2)</f>
        <v>2770000</v>
      </c>
      <c r="E26" s="4">
        <f t="shared" si="20"/>
        <v>0</v>
      </c>
      <c r="F26" s="4">
        <f>ROUND(2770000,2)</f>
        <v>2770000</v>
      </c>
      <c r="G26" s="4">
        <f t="shared" si="21"/>
        <v>0</v>
      </c>
      <c r="H26" s="4">
        <f t="shared" si="16"/>
        <v>0</v>
      </c>
      <c r="I26" s="4">
        <f t="shared" si="13"/>
        <v>0</v>
      </c>
      <c r="J26" s="4">
        <f>ROUND(892338.04,2)</f>
        <v>892338.04</v>
      </c>
      <c r="K26" s="4">
        <f t="shared" si="22"/>
        <v>0</v>
      </c>
      <c r="L26" s="4">
        <f>ROUND(892338.04,2)</f>
        <v>892338.04</v>
      </c>
      <c r="M26" s="4">
        <f t="shared" si="23"/>
        <v>0</v>
      </c>
      <c r="N26" s="4">
        <f t="shared" si="18"/>
        <v>0</v>
      </c>
      <c r="O26" s="4">
        <f t="shared" si="14"/>
        <v>0</v>
      </c>
      <c r="P26" s="4">
        <f>ROUND(32.21,2)</f>
        <v>32.21</v>
      </c>
      <c r="Q26" s="4">
        <f>ROUND(32.21,2)</f>
        <v>32.21</v>
      </c>
      <c r="R26" s="4">
        <f t="shared" si="19"/>
        <v>0</v>
      </c>
    </row>
    <row r="27" spans="1:18" ht="27.75">
      <c r="A27" s="2" t="s">
        <v>66</v>
      </c>
      <c r="B27" s="3" t="s">
        <v>97</v>
      </c>
      <c r="C27" s="3" t="s">
        <v>62</v>
      </c>
      <c r="D27" s="4">
        <f>ROUND(2141098,2)</f>
        <v>2141098</v>
      </c>
      <c r="E27" s="4">
        <f>ROUND(291583,2)</f>
        <v>291583</v>
      </c>
      <c r="F27" s="4">
        <f>ROUND(2141098,2)</f>
        <v>2141098</v>
      </c>
      <c r="G27" s="4">
        <f>ROUND(291583,2)</f>
        <v>291583</v>
      </c>
      <c r="H27" s="4">
        <f t="shared" si="16"/>
        <v>0</v>
      </c>
      <c r="I27" s="4">
        <f t="shared" si="13"/>
        <v>0</v>
      </c>
      <c r="J27" s="4">
        <f>ROUND(0,2)</f>
        <v>0</v>
      </c>
      <c r="K27" s="4">
        <f t="shared" si="22"/>
        <v>0</v>
      </c>
      <c r="L27" s="4">
        <f>ROUND(0,2)</f>
        <v>0</v>
      </c>
      <c r="M27" s="4">
        <f t="shared" si="23"/>
        <v>0</v>
      </c>
      <c r="N27" s="4">
        <f t="shared" si="18"/>
        <v>0</v>
      </c>
      <c r="O27" s="4">
        <f t="shared" si="14"/>
        <v>0</v>
      </c>
      <c r="P27" s="4">
        <f aca="true" t="shared" si="24" ref="P27:Q31">ROUND(0,2)</f>
        <v>0</v>
      </c>
      <c r="Q27" s="4">
        <f t="shared" si="24"/>
        <v>0</v>
      </c>
      <c r="R27" s="4">
        <f t="shared" si="19"/>
        <v>0</v>
      </c>
    </row>
    <row r="28" spans="1:18" ht="54.75">
      <c r="A28" s="2" t="s">
        <v>178</v>
      </c>
      <c r="B28" s="3" t="s">
        <v>258</v>
      </c>
      <c r="C28" s="3" t="s">
        <v>94</v>
      </c>
      <c r="D28" s="4">
        <f>ROUND(1402334,2)</f>
        <v>1402334</v>
      </c>
      <c r="E28" s="4">
        <f>ROUND(291583,2)</f>
        <v>291583</v>
      </c>
      <c r="F28" s="4">
        <f>ROUND(1402334,2)</f>
        <v>1402334</v>
      </c>
      <c r="G28" s="4">
        <f>ROUND(291583,2)</f>
        <v>291583</v>
      </c>
      <c r="H28" s="4">
        <f t="shared" si="16"/>
        <v>0</v>
      </c>
      <c r="I28" s="4">
        <f t="shared" si="13"/>
        <v>0</v>
      </c>
      <c r="J28" s="4">
        <f>ROUND(0,2)</f>
        <v>0</v>
      </c>
      <c r="K28" s="4">
        <f t="shared" si="22"/>
        <v>0</v>
      </c>
      <c r="L28" s="4">
        <f>ROUND(0,2)</f>
        <v>0</v>
      </c>
      <c r="M28" s="4">
        <f t="shared" si="23"/>
        <v>0</v>
      </c>
      <c r="N28" s="4">
        <f t="shared" si="18"/>
        <v>0</v>
      </c>
      <c r="O28" s="4">
        <f t="shared" si="14"/>
        <v>0</v>
      </c>
      <c r="P28" s="4">
        <f t="shared" si="24"/>
        <v>0</v>
      </c>
      <c r="Q28" s="4">
        <f t="shared" si="24"/>
        <v>0</v>
      </c>
      <c r="R28" s="4">
        <f t="shared" si="19"/>
        <v>0</v>
      </c>
    </row>
    <row r="29" spans="1:18" ht="45.75">
      <c r="A29" s="2" t="s">
        <v>268</v>
      </c>
      <c r="B29" s="3" t="s">
        <v>115</v>
      </c>
      <c r="C29" s="3" t="s">
        <v>188</v>
      </c>
      <c r="D29" s="4">
        <f>ROUND(2342098,2)</f>
        <v>2342098</v>
      </c>
      <c r="E29" s="4">
        <f>ROUND(291583,2)</f>
        <v>291583</v>
      </c>
      <c r="F29" s="4">
        <f>ROUND(2342098,2)</f>
        <v>2342098</v>
      </c>
      <c r="G29" s="4">
        <f>ROUND(291583,2)</f>
        <v>291583</v>
      </c>
      <c r="H29" s="4">
        <f t="shared" si="16"/>
        <v>0</v>
      </c>
      <c r="I29" s="4">
        <f t="shared" si="13"/>
        <v>0</v>
      </c>
      <c r="J29" s="4">
        <f>ROUND(0,2)</f>
        <v>0</v>
      </c>
      <c r="K29" s="4">
        <f t="shared" si="22"/>
        <v>0</v>
      </c>
      <c r="L29" s="4">
        <f>ROUND(0,2)</f>
        <v>0</v>
      </c>
      <c r="M29" s="4">
        <f t="shared" si="23"/>
        <v>0</v>
      </c>
      <c r="N29" s="4">
        <f t="shared" si="18"/>
        <v>0</v>
      </c>
      <c r="O29" s="4">
        <f t="shared" si="14"/>
        <v>0</v>
      </c>
      <c r="P29" s="4">
        <f t="shared" si="24"/>
        <v>0</v>
      </c>
      <c r="Q29" s="4">
        <f t="shared" si="24"/>
        <v>0</v>
      </c>
      <c r="R29" s="4">
        <f t="shared" si="19"/>
        <v>0</v>
      </c>
    </row>
    <row r="30" spans="1:18" ht="18.75">
      <c r="A30" s="2" t="s">
        <v>265</v>
      </c>
      <c r="B30" s="3" t="s">
        <v>27</v>
      </c>
      <c r="C30" s="3" t="s">
        <v>201</v>
      </c>
      <c r="D30" s="4">
        <f>ROUND(2342098,2)</f>
        <v>2342098</v>
      </c>
      <c r="E30" s="4">
        <f>ROUND(291583,2)</f>
        <v>291583</v>
      </c>
      <c r="F30" s="4">
        <f>ROUND(2342098,2)</f>
        <v>2342098</v>
      </c>
      <c r="G30" s="4">
        <f>ROUND(291583,2)</f>
        <v>291583</v>
      </c>
      <c r="H30" s="4">
        <f t="shared" si="16"/>
        <v>0</v>
      </c>
      <c r="I30" s="4">
        <f t="shared" si="13"/>
        <v>0</v>
      </c>
      <c r="J30" s="4">
        <f>ROUND(0,2)</f>
        <v>0</v>
      </c>
      <c r="K30" s="4">
        <f t="shared" si="22"/>
        <v>0</v>
      </c>
      <c r="L30" s="4">
        <f>ROUND(0,2)</f>
        <v>0</v>
      </c>
      <c r="M30" s="4">
        <f t="shared" si="23"/>
        <v>0</v>
      </c>
      <c r="N30" s="4">
        <f t="shared" si="18"/>
        <v>0</v>
      </c>
      <c r="O30" s="4">
        <f t="shared" si="14"/>
        <v>0</v>
      </c>
      <c r="P30" s="4">
        <f t="shared" si="24"/>
        <v>0</v>
      </c>
      <c r="Q30" s="4">
        <f t="shared" si="24"/>
        <v>0</v>
      </c>
      <c r="R30" s="4">
        <f t="shared" si="19"/>
        <v>0</v>
      </c>
    </row>
    <row r="31" spans="1:18" ht="18.75">
      <c r="A31" s="2" t="s">
        <v>74</v>
      </c>
      <c r="B31" s="3" t="s">
        <v>231</v>
      </c>
      <c r="C31" s="3" t="s">
        <v>25</v>
      </c>
      <c r="D31" s="4">
        <f>ROUND(2606098,2)</f>
        <v>2606098</v>
      </c>
      <c r="E31" s="4">
        <f>ROUND(291583,2)</f>
        <v>291583</v>
      </c>
      <c r="F31" s="4">
        <f>ROUND(2606098,2)</f>
        <v>2606098</v>
      </c>
      <c r="G31" s="4">
        <f>ROUND(291583,2)</f>
        <v>291583</v>
      </c>
      <c r="H31" s="4">
        <f t="shared" si="16"/>
        <v>0</v>
      </c>
      <c r="I31" s="4">
        <f t="shared" si="13"/>
        <v>0</v>
      </c>
      <c r="J31" s="4">
        <f>ROUND(0,2)</f>
        <v>0</v>
      </c>
      <c r="K31" s="4">
        <f t="shared" si="22"/>
        <v>0</v>
      </c>
      <c r="L31" s="4">
        <f>ROUND(0,2)</f>
        <v>0</v>
      </c>
      <c r="M31" s="4">
        <f t="shared" si="23"/>
        <v>0</v>
      </c>
      <c r="N31" s="4">
        <f t="shared" si="18"/>
        <v>0</v>
      </c>
      <c r="O31" s="4">
        <f t="shared" si="14"/>
        <v>0</v>
      </c>
      <c r="P31" s="4">
        <f t="shared" si="24"/>
        <v>0</v>
      </c>
      <c r="Q31" s="4">
        <f t="shared" si="24"/>
        <v>0</v>
      </c>
      <c r="R31" s="4">
        <f t="shared" si="19"/>
        <v>0</v>
      </c>
    </row>
    <row r="32" spans="1:18" ht="18.75">
      <c r="A32" s="2" t="s">
        <v>271</v>
      </c>
      <c r="B32" s="3" t="s">
        <v>199</v>
      </c>
      <c r="C32" s="3" t="s">
        <v>81</v>
      </c>
      <c r="D32" s="4">
        <f>ROUND(117462697.11,2)</f>
        <v>117462697.11</v>
      </c>
      <c r="E32" s="4">
        <f aca="true" t="shared" si="25" ref="E32:E63">ROUND(0,2)</f>
        <v>0</v>
      </c>
      <c r="F32" s="4">
        <f>ROUND(110081537.11,2)</f>
        <v>110081537.11</v>
      </c>
      <c r="G32" s="4">
        <f aca="true" t="shared" si="26" ref="G32:G63">ROUND(0,2)</f>
        <v>0</v>
      </c>
      <c r="H32" s="4">
        <f>ROUND(7381160,2)</f>
        <v>7381160</v>
      </c>
      <c r="I32" s="4">
        <f t="shared" si="13"/>
        <v>0</v>
      </c>
      <c r="J32" s="4">
        <f>ROUND(25788291.5,2)</f>
        <v>25788291.5</v>
      </c>
      <c r="K32" s="4">
        <f t="shared" si="22"/>
        <v>0</v>
      </c>
      <c r="L32" s="4">
        <f>ROUND(25788291.5,2)</f>
        <v>25788291.5</v>
      </c>
      <c r="M32" s="4">
        <f t="shared" si="23"/>
        <v>0</v>
      </c>
      <c r="N32" s="4">
        <f t="shared" si="18"/>
        <v>0</v>
      </c>
      <c r="O32" s="4">
        <f t="shared" si="14"/>
        <v>0</v>
      </c>
      <c r="P32" s="4">
        <f>ROUND(21.95,2)</f>
        <v>21.95</v>
      </c>
      <c r="Q32" s="4">
        <f>ROUND(23.43,2)</f>
        <v>23.43</v>
      </c>
      <c r="R32" s="4">
        <f t="shared" si="19"/>
        <v>0</v>
      </c>
    </row>
    <row r="33" spans="1:18" ht="18.75">
      <c r="A33" s="2" t="s">
        <v>103</v>
      </c>
      <c r="B33" s="3" t="s">
        <v>86</v>
      </c>
      <c r="C33" s="3" t="s">
        <v>139</v>
      </c>
      <c r="D33" s="4">
        <f>ROUND(100751673.26,2)</f>
        <v>100751673.26</v>
      </c>
      <c r="E33" s="4">
        <f t="shared" si="25"/>
        <v>0</v>
      </c>
      <c r="F33" s="4">
        <f>ROUND(99383638.26,2)</f>
        <v>99383638.26</v>
      </c>
      <c r="G33" s="4">
        <f t="shared" si="26"/>
        <v>0</v>
      </c>
      <c r="H33" s="4">
        <f>ROUND(1368035,2)</f>
        <v>1368035</v>
      </c>
      <c r="I33" s="4">
        <f t="shared" si="13"/>
        <v>0</v>
      </c>
      <c r="J33" s="4">
        <f>ROUND(21174876.63,2)</f>
        <v>21174876.63</v>
      </c>
      <c r="K33" s="4">
        <f t="shared" si="22"/>
        <v>0</v>
      </c>
      <c r="L33" s="4">
        <f>ROUND(21174876.63,2)</f>
        <v>21174876.63</v>
      </c>
      <c r="M33" s="4">
        <f t="shared" si="23"/>
        <v>0</v>
      </c>
      <c r="N33" s="4">
        <f t="shared" si="18"/>
        <v>0</v>
      </c>
      <c r="O33" s="4">
        <f t="shared" si="14"/>
        <v>0</v>
      </c>
      <c r="P33" s="4">
        <f>ROUND(21.02,2)</f>
        <v>21.02</v>
      </c>
      <c r="Q33" s="4">
        <f>ROUND(21.31,2)</f>
        <v>21.31</v>
      </c>
      <c r="R33" s="4">
        <f t="shared" si="19"/>
        <v>0</v>
      </c>
    </row>
    <row r="34" spans="1:18" ht="18.75">
      <c r="A34" s="2" t="s">
        <v>73</v>
      </c>
      <c r="B34" s="3" t="s">
        <v>148</v>
      </c>
      <c r="C34" s="3" t="s">
        <v>151</v>
      </c>
      <c r="D34" s="4">
        <f aca="true" t="shared" si="27" ref="D34:D51">ROUND(0,2)</f>
        <v>0</v>
      </c>
      <c r="E34" s="4">
        <f t="shared" si="25"/>
        <v>0</v>
      </c>
      <c r="F34" s="4">
        <f aca="true" t="shared" si="28" ref="F34:F51">ROUND(0,2)</f>
        <v>0</v>
      </c>
      <c r="G34" s="4">
        <f t="shared" si="26"/>
        <v>0</v>
      </c>
      <c r="H34" s="4">
        <f aca="true" t="shared" si="29" ref="H34:H51">ROUND(0,2)</f>
        <v>0</v>
      </c>
      <c r="I34" s="4">
        <f t="shared" si="13"/>
        <v>0</v>
      </c>
      <c r="J34" s="4">
        <f>ROUND(2485000,2)</f>
        <v>2485000</v>
      </c>
      <c r="K34" s="4">
        <f t="shared" si="22"/>
        <v>0</v>
      </c>
      <c r="L34" s="4">
        <f>ROUND(644000,2)</f>
        <v>644000</v>
      </c>
      <c r="M34" s="4">
        <f t="shared" si="23"/>
        <v>0</v>
      </c>
      <c r="N34" s="4">
        <f>ROUND(1841000,2)</f>
        <v>1841000</v>
      </c>
      <c r="O34" s="4">
        <f t="shared" si="14"/>
        <v>0</v>
      </c>
      <c r="P34" s="4">
        <f aca="true" t="shared" si="30" ref="P34:Q51">ROUND(0,2)</f>
        <v>0</v>
      </c>
      <c r="Q34" s="4">
        <f t="shared" si="30"/>
        <v>0</v>
      </c>
      <c r="R34" s="4">
        <f t="shared" si="19"/>
        <v>0</v>
      </c>
    </row>
    <row r="35" spans="1:18" ht="36.75">
      <c r="A35" s="2" t="s">
        <v>118</v>
      </c>
      <c r="B35" s="3" t="s">
        <v>11</v>
      </c>
      <c r="C35" s="3" t="s">
        <v>183</v>
      </c>
      <c r="D35" s="4">
        <f t="shared" si="27"/>
        <v>0</v>
      </c>
      <c r="E35" s="4">
        <f t="shared" si="25"/>
        <v>0</v>
      </c>
      <c r="F35" s="4">
        <f t="shared" si="28"/>
        <v>0</v>
      </c>
      <c r="G35" s="4">
        <f t="shared" si="26"/>
        <v>0</v>
      </c>
      <c r="H35" s="4">
        <f t="shared" si="29"/>
        <v>0</v>
      </c>
      <c r="I35" s="4">
        <f t="shared" si="13"/>
        <v>0</v>
      </c>
      <c r="J35" s="4">
        <f>ROUND(2485000,2)</f>
        <v>2485000</v>
      </c>
      <c r="K35" s="4">
        <f t="shared" si="22"/>
        <v>0</v>
      </c>
      <c r="L35" s="4">
        <f>ROUND(644000,2)</f>
        <v>644000</v>
      </c>
      <c r="M35" s="4">
        <f t="shared" si="23"/>
        <v>0</v>
      </c>
      <c r="N35" s="4">
        <f>ROUND(1841000,2)</f>
        <v>1841000</v>
      </c>
      <c r="O35" s="4">
        <f t="shared" si="14"/>
        <v>0</v>
      </c>
      <c r="P35" s="4">
        <f t="shared" si="30"/>
        <v>0</v>
      </c>
      <c r="Q35" s="4">
        <f t="shared" si="30"/>
        <v>0</v>
      </c>
      <c r="R35" s="4">
        <f t="shared" si="19"/>
        <v>0</v>
      </c>
    </row>
    <row r="36" spans="1:18" ht="27.75">
      <c r="A36" s="2" t="s">
        <v>89</v>
      </c>
      <c r="B36" s="3" t="s">
        <v>96</v>
      </c>
      <c r="C36" s="3" t="s">
        <v>194</v>
      </c>
      <c r="D36" s="4">
        <f t="shared" si="27"/>
        <v>0</v>
      </c>
      <c r="E36" s="4">
        <f t="shared" si="25"/>
        <v>0</v>
      </c>
      <c r="F36" s="4">
        <f t="shared" si="28"/>
        <v>0</v>
      </c>
      <c r="G36" s="4">
        <f t="shared" si="26"/>
        <v>0</v>
      </c>
      <c r="H36" s="4">
        <f t="shared" si="29"/>
        <v>0</v>
      </c>
      <c r="I36" s="4">
        <f t="shared" si="13"/>
        <v>0</v>
      </c>
      <c r="J36" s="4">
        <f>ROUND(644000,2)</f>
        <v>644000</v>
      </c>
      <c r="K36" s="4">
        <f t="shared" si="22"/>
        <v>0</v>
      </c>
      <c r="L36" s="4">
        <f>ROUND(644000,2)</f>
        <v>644000</v>
      </c>
      <c r="M36" s="4">
        <f t="shared" si="23"/>
        <v>0</v>
      </c>
      <c r="N36" s="4">
        <f>ROUND(0,2)</f>
        <v>0</v>
      </c>
      <c r="O36" s="4">
        <f t="shared" si="14"/>
        <v>0</v>
      </c>
      <c r="P36" s="4">
        <f t="shared" si="30"/>
        <v>0</v>
      </c>
      <c r="Q36" s="4">
        <f t="shared" si="30"/>
        <v>0</v>
      </c>
      <c r="R36" s="4">
        <f t="shared" si="19"/>
        <v>0</v>
      </c>
    </row>
    <row r="37" spans="1:18" ht="27.75">
      <c r="A37" s="2" t="s">
        <v>215</v>
      </c>
      <c r="B37" s="3" t="s">
        <v>257</v>
      </c>
      <c r="C37" s="3" t="s">
        <v>220</v>
      </c>
      <c r="D37" s="4">
        <f t="shared" si="27"/>
        <v>0</v>
      </c>
      <c r="E37" s="4">
        <f t="shared" si="25"/>
        <v>0</v>
      </c>
      <c r="F37" s="4">
        <f t="shared" si="28"/>
        <v>0</v>
      </c>
      <c r="G37" s="4">
        <f t="shared" si="26"/>
        <v>0</v>
      </c>
      <c r="H37" s="4">
        <f t="shared" si="29"/>
        <v>0</v>
      </c>
      <c r="I37" s="4">
        <f t="shared" si="13"/>
        <v>0</v>
      </c>
      <c r="J37" s="4">
        <f>ROUND(1841000,2)</f>
        <v>1841000</v>
      </c>
      <c r="K37" s="4">
        <f t="shared" si="22"/>
        <v>0</v>
      </c>
      <c r="L37" s="4">
        <f>ROUND(0,2)</f>
        <v>0</v>
      </c>
      <c r="M37" s="4">
        <f t="shared" si="23"/>
        <v>0</v>
      </c>
      <c r="N37" s="4">
        <f>ROUND(1841000,2)</f>
        <v>1841000</v>
      </c>
      <c r="O37" s="4">
        <f t="shared" si="14"/>
        <v>0</v>
      </c>
      <c r="P37" s="4">
        <f t="shared" si="30"/>
        <v>0</v>
      </c>
      <c r="Q37" s="4">
        <f t="shared" si="30"/>
        <v>0</v>
      </c>
      <c r="R37" s="4">
        <f t="shared" si="19"/>
        <v>0</v>
      </c>
    </row>
    <row r="38" spans="1:18" ht="27.75">
      <c r="A38" s="2" t="s">
        <v>133</v>
      </c>
      <c r="B38" s="3" t="s">
        <v>58</v>
      </c>
      <c r="C38" s="3" t="s">
        <v>36</v>
      </c>
      <c r="D38" s="4">
        <f t="shared" si="27"/>
        <v>0</v>
      </c>
      <c r="E38" s="4">
        <f t="shared" si="25"/>
        <v>0</v>
      </c>
      <c r="F38" s="4">
        <f t="shared" si="28"/>
        <v>0</v>
      </c>
      <c r="G38" s="4">
        <f t="shared" si="26"/>
        <v>0</v>
      </c>
      <c r="H38" s="4">
        <f t="shared" si="29"/>
        <v>0</v>
      </c>
      <c r="I38" s="4">
        <f t="shared" si="13"/>
        <v>0</v>
      </c>
      <c r="J38" s="4">
        <f>ROUND(32644855.28,2)</f>
        <v>32644855.28</v>
      </c>
      <c r="K38" s="4">
        <f>ROUND(1069796.68,2)</f>
        <v>1069796.68</v>
      </c>
      <c r="L38" s="4">
        <f>ROUND(22049962.32,2)</f>
        <v>22049962.32</v>
      </c>
      <c r="M38" s="4">
        <f>ROUND(291583.02,2)</f>
        <v>291583.02</v>
      </c>
      <c r="N38" s="4">
        <f>ROUND(10594892.96,2)</f>
        <v>10594892.96</v>
      </c>
      <c r="O38" s="4">
        <f>ROUND(778213.66,2)</f>
        <v>778213.66</v>
      </c>
      <c r="P38" s="4">
        <f t="shared" si="30"/>
        <v>0</v>
      </c>
      <c r="Q38" s="4">
        <f t="shared" si="30"/>
        <v>0</v>
      </c>
      <c r="R38" s="4">
        <f t="shared" si="19"/>
        <v>0</v>
      </c>
    </row>
    <row r="39" spans="1:18" ht="18.75">
      <c r="A39" s="2" t="s">
        <v>207</v>
      </c>
      <c r="B39" s="3" t="s">
        <v>169</v>
      </c>
      <c r="C39" s="3" t="s">
        <v>141</v>
      </c>
      <c r="D39" s="4">
        <f t="shared" si="27"/>
        <v>0</v>
      </c>
      <c r="E39" s="4">
        <f t="shared" si="25"/>
        <v>0</v>
      </c>
      <c r="F39" s="4">
        <f t="shared" si="28"/>
        <v>0</v>
      </c>
      <c r="G39" s="4">
        <f t="shared" si="26"/>
        <v>0</v>
      </c>
      <c r="H39" s="4">
        <f t="shared" si="29"/>
        <v>0</v>
      </c>
      <c r="I39" s="4">
        <f t="shared" si="13"/>
        <v>0</v>
      </c>
      <c r="J39" s="4">
        <f>ROUND(19887220.77,2)</f>
        <v>19887220.77</v>
      </c>
      <c r="K39" s="4">
        <f>ROUND(1069796.68,2)</f>
        <v>1069796.68</v>
      </c>
      <c r="L39" s="4">
        <f>ROUND(17601672.36,2)</f>
        <v>17601672.36</v>
      </c>
      <c r="M39" s="4">
        <f>ROUND(291583.02,2)</f>
        <v>291583.02</v>
      </c>
      <c r="N39" s="4">
        <f>ROUND(2285548.41,2)</f>
        <v>2285548.41</v>
      </c>
      <c r="O39" s="4">
        <f>ROUND(778213.66,2)</f>
        <v>778213.66</v>
      </c>
      <c r="P39" s="4">
        <f t="shared" si="30"/>
        <v>0</v>
      </c>
      <c r="Q39" s="4">
        <f t="shared" si="30"/>
        <v>0</v>
      </c>
      <c r="R39" s="4">
        <f t="shared" si="19"/>
        <v>0</v>
      </c>
    </row>
    <row r="40" spans="1:18" ht="27.75">
      <c r="A40" s="2" t="s">
        <v>5</v>
      </c>
      <c r="B40" s="3" t="s">
        <v>247</v>
      </c>
      <c r="C40" s="3" t="s">
        <v>229</v>
      </c>
      <c r="D40" s="4">
        <f t="shared" si="27"/>
        <v>0</v>
      </c>
      <c r="E40" s="4">
        <f t="shared" si="25"/>
        <v>0</v>
      </c>
      <c r="F40" s="4">
        <f t="shared" si="28"/>
        <v>0</v>
      </c>
      <c r="G40" s="4">
        <f t="shared" si="26"/>
        <v>0</v>
      </c>
      <c r="H40" s="4">
        <f t="shared" si="29"/>
        <v>0</v>
      </c>
      <c r="I40" s="4">
        <f t="shared" si="13"/>
        <v>0</v>
      </c>
      <c r="J40" s="4">
        <f>ROUND(3239607.41,2)</f>
        <v>3239607.41</v>
      </c>
      <c r="K40" s="4">
        <f aca="true" t="shared" si="31" ref="K40:K71">ROUND(0,2)</f>
        <v>0</v>
      </c>
      <c r="L40" s="4">
        <f>ROUND(1288188.73,2)</f>
        <v>1288188.73</v>
      </c>
      <c r="M40" s="4">
        <f aca="true" t="shared" si="32" ref="M40:M71">ROUND(0,2)</f>
        <v>0</v>
      </c>
      <c r="N40" s="4">
        <f>ROUND(1951418.68,2)</f>
        <v>1951418.68</v>
      </c>
      <c r="O40" s="4">
        <f aca="true" t="shared" si="33" ref="O40:O71">ROUND(0,2)</f>
        <v>0</v>
      </c>
      <c r="P40" s="4">
        <f t="shared" si="30"/>
        <v>0</v>
      </c>
      <c r="Q40" s="4">
        <f t="shared" si="30"/>
        <v>0</v>
      </c>
      <c r="R40" s="4">
        <f t="shared" si="19"/>
        <v>0</v>
      </c>
    </row>
    <row r="41" spans="1:18" ht="27.75">
      <c r="A41" s="2" t="s">
        <v>159</v>
      </c>
      <c r="B41" s="3" t="s">
        <v>125</v>
      </c>
      <c r="C41" s="3" t="s">
        <v>208</v>
      </c>
      <c r="D41" s="4">
        <f t="shared" si="27"/>
        <v>0</v>
      </c>
      <c r="E41" s="4">
        <f t="shared" si="25"/>
        <v>0</v>
      </c>
      <c r="F41" s="4">
        <f t="shared" si="28"/>
        <v>0</v>
      </c>
      <c r="G41" s="4">
        <f t="shared" si="26"/>
        <v>0</v>
      </c>
      <c r="H41" s="4">
        <f t="shared" si="29"/>
        <v>0</v>
      </c>
      <c r="I41" s="4">
        <f t="shared" si="13"/>
        <v>0</v>
      </c>
      <c r="J41" s="4">
        <f>ROUND(1656554.72,2)</f>
        <v>1656554.72</v>
      </c>
      <c r="K41" s="4">
        <f t="shared" si="31"/>
        <v>0</v>
      </c>
      <c r="L41" s="4">
        <f>ROUND(294592.02,2)</f>
        <v>294592.02</v>
      </c>
      <c r="M41" s="4">
        <f t="shared" si="32"/>
        <v>0</v>
      </c>
      <c r="N41" s="4">
        <f>ROUND(1361962.7,2)</f>
        <v>1361962.7</v>
      </c>
      <c r="O41" s="4">
        <f t="shared" si="33"/>
        <v>0</v>
      </c>
      <c r="P41" s="4">
        <f t="shared" si="30"/>
        <v>0</v>
      </c>
      <c r="Q41" s="4">
        <f t="shared" si="30"/>
        <v>0</v>
      </c>
      <c r="R41" s="4">
        <f t="shared" si="19"/>
        <v>0</v>
      </c>
    </row>
    <row r="42" spans="1:18" ht="18.75">
      <c r="A42" s="2" t="s">
        <v>102</v>
      </c>
      <c r="B42" s="3" t="s">
        <v>116</v>
      </c>
      <c r="C42" s="3" t="s">
        <v>53</v>
      </c>
      <c r="D42" s="4">
        <f t="shared" si="27"/>
        <v>0</v>
      </c>
      <c r="E42" s="4">
        <f t="shared" si="25"/>
        <v>0</v>
      </c>
      <c r="F42" s="4">
        <f t="shared" si="28"/>
        <v>0</v>
      </c>
      <c r="G42" s="4">
        <f t="shared" si="26"/>
        <v>0</v>
      </c>
      <c r="H42" s="4">
        <f t="shared" si="29"/>
        <v>0</v>
      </c>
      <c r="I42" s="4">
        <f t="shared" si="13"/>
        <v>0</v>
      </c>
      <c r="J42" s="4">
        <f>ROUND(5077923.78,2)</f>
        <v>5077923.78</v>
      </c>
      <c r="K42" s="4">
        <f t="shared" si="31"/>
        <v>0</v>
      </c>
      <c r="L42" s="4">
        <f>ROUND(3056623.69,2)</f>
        <v>3056623.69</v>
      </c>
      <c r="M42" s="4">
        <f t="shared" si="32"/>
        <v>0</v>
      </c>
      <c r="N42" s="4">
        <f>ROUND(2021300.09,2)</f>
        <v>2021300.09</v>
      </c>
      <c r="O42" s="4">
        <f t="shared" si="33"/>
        <v>0</v>
      </c>
      <c r="P42" s="4">
        <f t="shared" si="30"/>
        <v>0</v>
      </c>
      <c r="Q42" s="4">
        <f t="shared" si="30"/>
        <v>0</v>
      </c>
      <c r="R42" s="4">
        <f t="shared" si="19"/>
        <v>0</v>
      </c>
    </row>
    <row r="43" spans="1:18" ht="72.75">
      <c r="A43" s="2" t="s">
        <v>270</v>
      </c>
      <c r="B43" s="3" t="s">
        <v>236</v>
      </c>
      <c r="C43" s="3" t="s">
        <v>117</v>
      </c>
      <c r="D43" s="4">
        <f t="shared" si="27"/>
        <v>0</v>
      </c>
      <c r="E43" s="4">
        <f t="shared" si="25"/>
        <v>0</v>
      </c>
      <c r="F43" s="4">
        <f t="shared" si="28"/>
        <v>0</v>
      </c>
      <c r="G43" s="4">
        <f t="shared" si="26"/>
        <v>0</v>
      </c>
      <c r="H43" s="4">
        <f t="shared" si="29"/>
        <v>0</v>
      </c>
      <c r="I43" s="4">
        <f t="shared" si="13"/>
        <v>0</v>
      </c>
      <c r="J43" s="4">
        <f>ROUND(1000,2)</f>
        <v>1000</v>
      </c>
      <c r="K43" s="4">
        <f t="shared" si="31"/>
        <v>0</v>
      </c>
      <c r="L43" s="4">
        <f>ROUND(0,2)</f>
        <v>0</v>
      </c>
      <c r="M43" s="4">
        <f t="shared" si="32"/>
        <v>0</v>
      </c>
      <c r="N43" s="4">
        <f>ROUND(1000,2)</f>
        <v>1000</v>
      </c>
      <c r="O43" s="4">
        <f t="shared" si="33"/>
        <v>0</v>
      </c>
      <c r="P43" s="4">
        <f t="shared" si="30"/>
        <v>0</v>
      </c>
      <c r="Q43" s="4">
        <f t="shared" si="30"/>
        <v>0</v>
      </c>
      <c r="R43" s="4">
        <f t="shared" si="19"/>
        <v>0</v>
      </c>
    </row>
    <row r="44" spans="1:18" ht="81.75">
      <c r="A44" s="2" t="s">
        <v>221</v>
      </c>
      <c r="B44" s="3" t="s">
        <v>147</v>
      </c>
      <c r="C44" s="3" t="s">
        <v>67</v>
      </c>
      <c r="D44" s="4">
        <f t="shared" si="27"/>
        <v>0</v>
      </c>
      <c r="E44" s="4">
        <f t="shared" si="25"/>
        <v>0</v>
      </c>
      <c r="F44" s="4">
        <f t="shared" si="28"/>
        <v>0</v>
      </c>
      <c r="G44" s="4">
        <f t="shared" si="26"/>
        <v>0</v>
      </c>
      <c r="H44" s="4">
        <f t="shared" si="29"/>
        <v>0</v>
      </c>
      <c r="I44" s="4">
        <f t="shared" si="13"/>
        <v>0</v>
      </c>
      <c r="J44" s="4">
        <f>ROUND(589778.61,2)</f>
        <v>589778.61</v>
      </c>
      <c r="K44" s="4">
        <f t="shared" si="31"/>
        <v>0</v>
      </c>
      <c r="L44" s="4">
        <f>ROUND(10000,2)</f>
        <v>10000</v>
      </c>
      <c r="M44" s="4">
        <f t="shared" si="32"/>
        <v>0</v>
      </c>
      <c r="N44" s="4">
        <f>ROUND(579778.61,2)</f>
        <v>579778.61</v>
      </c>
      <c r="O44" s="4">
        <f t="shared" si="33"/>
        <v>0</v>
      </c>
      <c r="P44" s="4">
        <f t="shared" si="30"/>
        <v>0</v>
      </c>
      <c r="Q44" s="4">
        <f t="shared" si="30"/>
        <v>0</v>
      </c>
      <c r="R44" s="4">
        <f t="shared" si="19"/>
        <v>0</v>
      </c>
    </row>
    <row r="45" spans="1:18" ht="54.75">
      <c r="A45" s="2" t="s">
        <v>111</v>
      </c>
      <c r="B45" s="3" t="s">
        <v>175</v>
      </c>
      <c r="C45" s="3" t="s">
        <v>127</v>
      </c>
      <c r="D45" s="4">
        <f t="shared" si="27"/>
        <v>0</v>
      </c>
      <c r="E45" s="4">
        <f t="shared" si="25"/>
        <v>0</v>
      </c>
      <c r="F45" s="4">
        <f t="shared" si="28"/>
        <v>0</v>
      </c>
      <c r="G45" s="4">
        <f t="shared" si="26"/>
        <v>0</v>
      </c>
      <c r="H45" s="4">
        <f t="shared" si="29"/>
        <v>0</v>
      </c>
      <c r="I45" s="4">
        <f t="shared" si="13"/>
        <v>0</v>
      </c>
      <c r="J45" s="4">
        <f>ROUND(89879,2)</f>
        <v>89879</v>
      </c>
      <c r="K45" s="4">
        <f t="shared" si="31"/>
        <v>0</v>
      </c>
      <c r="L45" s="4">
        <f>ROUND(0,2)</f>
        <v>0</v>
      </c>
      <c r="M45" s="4">
        <f t="shared" si="32"/>
        <v>0</v>
      </c>
      <c r="N45" s="4">
        <f>ROUND(89879,2)</f>
        <v>89879</v>
      </c>
      <c r="O45" s="4">
        <f t="shared" si="33"/>
        <v>0</v>
      </c>
      <c r="P45" s="4">
        <f t="shared" si="30"/>
        <v>0</v>
      </c>
      <c r="Q45" s="4">
        <f t="shared" si="30"/>
        <v>0</v>
      </c>
      <c r="R45" s="4">
        <f t="shared" si="19"/>
        <v>0</v>
      </c>
    </row>
    <row r="46" spans="1:18" ht="18.75">
      <c r="A46" s="2" t="s">
        <v>90</v>
      </c>
      <c r="B46" s="3" t="s">
        <v>211</v>
      </c>
      <c r="C46" s="3" t="s">
        <v>65</v>
      </c>
      <c r="D46" s="4">
        <f t="shared" si="27"/>
        <v>0</v>
      </c>
      <c r="E46" s="4">
        <f t="shared" si="25"/>
        <v>0</v>
      </c>
      <c r="F46" s="4">
        <f t="shared" si="28"/>
        <v>0</v>
      </c>
      <c r="G46" s="4">
        <f t="shared" si="26"/>
        <v>0</v>
      </c>
      <c r="H46" s="4">
        <f t="shared" si="29"/>
        <v>0</v>
      </c>
      <c r="I46" s="4">
        <f t="shared" si="13"/>
        <v>0</v>
      </c>
      <c r="J46" s="4">
        <f>ROUND(30000.93,2)</f>
        <v>30000.93</v>
      </c>
      <c r="K46" s="4">
        <f t="shared" si="31"/>
        <v>0</v>
      </c>
      <c r="L46" s="4">
        <f>ROUND(30000.93,2)</f>
        <v>30000.93</v>
      </c>
      <c r="M46" s="4">
        <f t="shared" si="32"/>
        <v>0</v>
      </c>
      <c r="N46" s="4">
        <f>ROUND(0,2)</f>
        <v>0</v>
      </c>
      <c r="O46" s="4">
        <f t="shared" si="33"/>
        <v>0</v>
      </c>
      <c r="P46" s="4">
        <f t="shared" si="30"/>
        <v>0</v>
      </c>
      <c r="Q46" s="4">
        <f t="shared" si="30"/>
        <v>0</v>
      </c>
      <c r="R46" s="4">
        <f t="shared" si="19"/>
        <v>0</v>
      </c>
    </row>
    <row r="47" spans="1:18" ht="18.75">
      <c r="A47" s="2" t="s">
        <v>88</v>
      </c>
      <c r="B47" s="3" t="s">
        <v>212</v>
      </c>
      <c r="C47" s="3" t="s">
        <v>263</v>
      </c>
      <c r="D47" s="4">
        <f t="shared" si="27"/>
        <v>0</v>
      </c>
      <c r="E47" s="4">
        <f t="shared" si="25"/>
        <v>0</v>
      </c>
      <c r="F47" s="4">
        <f t="shared" si="28"/>
        <v>0</v>
      </c>
      <c r="G47" s="4">
        <f t="shared" si="26"/>
        <v>0</v>
      </c>
      <c r="H47" s="4">
        <f t="shared" si="29"/>
        <v>0</v>
      </c>
      <c r="I47" s="4">
        <f t="shared" si="13"/>
        <v>0</v>
      </c>
      <c r="J47" s="4">
        <f>ROUND(277498.71,2)</f>
        <v>277498.71</v>
      </c>
      <c r="K47" s="4">
        <f t="shared" si="31"/>
        <v>0</v>
      </c>
      <c r="L47" s="4">
        <f>ROUND(260730.71,2)</f>
        <v>260730.71</v>
      </c>
      <c r="M47" s="4">
        <f t="shared" si="32"/>
        <v>0</v>
      </c>
      <c r="N47" s="4">
        <f>ROUND(16768,2)</f>
        <v>16768</v>
      </c>
      <c r="O47" s="4">
        <f t="shared" si="33"/>
        <v>0</v>
      </c>
      <c r="P47" s="4">
        <f t="shared" si="30"/>
        <v>0</v>
      </c>
      <c r="Q47" s="4">
        <f t="shared" si="30"/>
        <v>0</v>
      </c>
      <c r="R47" s="4">
        <f t="shared" si="19"/>
        <v>0</v>
      </c>
    </row>
    <row r="48" spans="1:18" ht="18.75">
      <c r="A48" s="2" t="s">
        <v>214</v>
      </c>
      <c r="B48" s="3" t="s">
        <v>155</v>
      </c>
      <c r="C48" s="3" t="s">
        <v>186</v>
      </c>
      <c r="D48" s="4">
        <f t="shared" si="27"/>
        <v>0</v>
      </c>
      <c r="E48" s="4">
        <f t="shared" si="25"/>
        <v>0</v>
      </c>
      <c r="F48" s="4">
        <f t="shared" si="28"/>
        <v>0</v>
      </c>
      <c r="G48" s="4">
        <f t="shared" si="26"/>
        <v>0</v>
      </c>
      <c r="H48" s="4">
        <f t="shared" si="29"/>
        <v>0</v>
      </c>
      <c r="I48" s="4">
        <f t="shared" si="13"/>
        <v>0</v>
      </c>
      <c r="J48" s="4">
        <f>ROUND(2342622.09,2)</f>
        <v>2342622.09</v>
      </c>
      <c r="K48" s="4">
        <f t="shared" si="31"/>
        <v>0</v>
      </c>
      <c r="L48" s="4">
        <f>ROUND(2200980.92,2)</f>
        <v>2200980.92</v>
      </c>
      <c r="M48" s="4">
        <f t="shared" si="32"/>
        <v>0</v>
      </c>
      <c r="N48" s="4">
        <f>ROUND(141641.17,2)</f>
        <v>141641.17</v>
      </c>
      <c r="O48" s="4">
        <f t="shared" si="33"/>
        <v>0</v>
      </c>
      <c r="P48" s="4">
        <f t="shared" si="30"/>
        <v>0</v>
      </c>
      <c r="Q48" s="4">
        <f t="shared" si="30"/>
        <v>0</v>
      </c>
      <c r="R48" s="4">
        <f t="shared" si="19"/>
        <v>0</v>
      </c>
    </row>
    <row r="49" spans="1:18" ht="45.75">
      <c r="A49" s="2" t="s">
        <v>41</v>
      </c>
      <c r="B49" s="3" t="s">
        <v>222</v>
      </c>
      <c r="C49" s="3" t="s">
        <v>228</v>
      </c>
      <c r="D49" s="4">
        <f t="shared" si="27"/>
        <v>0</v>
      </c>
      <c r="E49" s="4">
        <f t="shared" si="25"/>
        <v>0</v>
      </c>
      <c r="F49" s="4">
        <f t="shared" si="28"/>
        <v>0</v>
      </c>
      <c r="G49" s="4">
        <f t="shared" si="26"/>
        <v>0</v>
      </c>
      <c r="H49" s="4">
        <f t="shared" si="29"/>
        <v>0</v>
      </c>
      <c r="I49" s="4">
        <f t="shared" si="13"/>
        <v>0</v>
      </c>
      <c r="J49" s="4">
        <f>ROUND(1927551.7,2)</f>
        <v>1927551.7</v>
      </c>
      <c r="K49" s="4">
        <f t="shared" si="31"/>
        <v>0</v>
      </c>
      <c r="L49" s="4">
        <f>ROUND(1887218.82,2)</f>
        <v>1887218.82</v>
      </c>
      <c r="M49" s="4">
        <f t="shared" si="32"/>
        <v>0</v>
      </c>
      <c r="N49" s="4">
        <f>ROUND(40332.88,2)</f>
        <v>40332.88</v>
      </c>
      <c r="O49" s="4">
        <f t="shared" si="33"/>
        <v>0</v>
      </c>
      <c r="P49" s="4">
        <f t="shared" si="30"/>
        <v>0</v>
      </c>
      <c r="Q49" s="4">
        <f t="shared" si="30"/>
        <v>0</v>
      </c>
      <c r="R49" s="4">
        <f t="shared" si="19"/>
        <v>0</v>
      </c>
    </row>
    <row r="50" spans="1:18" ht="36.75">
      <c r="A50" s="2" t="s">
        <v>193</v>
      </c>
      <c r="B50" s="3" t="s">
        <v>19</v>
      </c>
      <c r="C50" s="3" t="s">
        <v>93</v>
      </c>
      <c r="D50" s="4">
        <f t="shared" si="27"/>
        <v>0</v>
      </c>
      <c r="E50" s="4">
        <f t="shared" si="25"/>
        <v>0</v>
      </c>
      <c r="F50" s="4">
        <f t="shared" si="28"/>
        <v>0</v>
      </c>
      <c r="G50" s="4">
        <f t="shared" si="26"/>
        <v>0</v>
      </c>
      <c r="H50" s="4">
        <f t="shared" si="29"/>
        <v>0</v>
      </c>
      <c r="I50" s="4">
        <f aca="true" t="shared" si="34" ref="I50:I81">ROUND(0,2)</f>
        <v>0</v>
      </c>
      <c r="J50" s="4">
        <f>ROUND(275528.14,2)</f>
        <v>275528.14</v>
      </c>
      <c r="K50" s="4">
        <f t="shared" si="31"/>
        <v>0</v>
      </c>
      <c r="L50" s="4">
        <f>ROUND(275362.1,2)</f>
        <v>275362.1</v>
      </c>
      <c r="M50" s="4">
        <f t="shared" si="32"/>
        <v>0</v>
      </c>
      <c r="N50" s="4">
        <f>ROUND(166.04,2)</f>
        <v>166.04</v>
      </c>
      <c r="O50" s="4">
        <f t="shared" si="33"/>
        <v>0</v>
      </c>
      <c r="P50" s="4">
        <f t="shared" si="30"/>
        <v>0</v>
      </c>
      <c r="Q50" s="4">
        <f t="shared" si="30"/>
        <v>0</v>
      </c>
      <c r="R50" s="4">
        <f t="shared" si="19"/>
        <v>0</v>
      </c>
    </row>
    <row r="51" spans="1:18" ht="18.75">
      <c r="A51" s="2" t="s">
        <v>153</v>
      </c>
      <c r="B51" s="3" t="s">
        <v>217</v>
      </c>
      <c r="C51" s="3" t="s">
        <v>112</v>
      </c>
      <c r="D51" s="4">
        <f t="shared" si="27"/>
        <v>0</v>
      </c>
      <c r="E51" s="4">
        <f t="shared" si="25"/>
        <v>0</v>
      </c>
      <c r="F51" s="4">
        <f t="shared" si="28"/>
        <v>0</v>
      </c>
      <c r="G51" s="4">
        <f t="shared" si="26"/>
        <v>0</v>
      </c>
      <c r="H51" s="4">
        <f t="shared" si="29"/>
        <v>0</v>
      </c>
      <c r="I51" s="4">
        <f t="shared" si="34"/>
        <v>0</v>
      </c>
      <c r="J51" s="4">
        <f>ROUND(38400,2)</f>
        <v>38400</v>
      </c>
      <c r="K51" s="4">
        <f t="shared" si="31"/>
        <v>0</v>
      </c>
      <c r="L51" s="4">
        <f>ROUND(38400,2)</f>
        <v>38400</v>
      </c>
      <c r="M51" s="4">
        <f t="shared" si="32"/>
        <v>0</v>
      </c>
      <c r="N51" s="4">
        <f>ROUND(0,2)</f>
        <v>0</v>
      </c>
      <c r="O51" s="4">
        <f t="shared" si="33"/>
        <v>0</v>
      </c>
      <c r="P51" s="4">
        <f t="shared" si="30"/>
        <v>0</v>
      </c>
      <c r="Q51" s="4">
        <f t="shared" si="30"/>
        <v>0</v>
      </c>
      <c r="R51" s="4">
        <f t="shared" si="19"/>
        <v>0</v>
      </c>
    </row>
    <row r="52" spans="1:18" ht="45.75">
      <c r="A52" s="2" t="s">
        <v>144</v>
      </c>
      <c r="B52" s="3" t="s">
        <v>184</v>
      </c>
      <c r="C52" s="3" t="s">
        <v>44</v>
      </c>
      <c r="D52" s="4">
        <f>ROUND(135243125,2)</f>
        <v>135243125</v>
      </c>
      <c r="E52" s="4">
        <f t="shared" si="25"/>
        <v>0</v>
      </c>
      <c r="F52" s="4">
        <f>ROUND(115398600,2)</f>
        <v>115398600</v>
      </c>
      <c r="G52" s="4">
        <f t="shared" si="26"/>
        <v>0</v>
      </c>
      <c r="H52" s="4">
        <f>ROUND(19844525,2)</f>
        <v>19844525</v>
      </c>
      <c r="I52" s="4">
        <f t="shared" si="34"/>
        <v>0</v>
      </c>
      <c r="J52" s="4">
        <f>ROUND(57483817.55,2)</f>
        <v>57483817.55</v>
      </c>
      <c r="K52" s="4">
        <f t="shared" si="31"/>
        <v>0</v>
      </c>
      <c r="L52" s="4">
        <f>ROUND(49317727.72,2)</f>
        <v>49317727.72</v>
      </c>
      <c r="M52" s="4">
        <f t="shared" si="32"/>
        <v>0</v>
      </c>
      <c r="N52" s="4">
        <f>ROUND(8166089.83,2)</f>
        <v>8166089.83</v>
      </c>
      <c r="O52" s="4">
        <f t="shared" si="33"/>
        <v>0</v>
      </c>
      <c r="P52" s="4">
        <f>ROUND(42.5,2)</f>
        <v>42.5</v>
      </c>
      <c r="Q52" s="4">
        <f>ROUND(42.74,2)</f>
        <v>42.74</v>
      </c>
      <c r="R52" s="4">
        <f>ROUND(41.15,2)</f>
        <v>41.15</v>
      </c>
    </row>
    <row r="53" spans="1:18" ht="18.75">
      <c r="A53" s="2" t="s">
        <v>24</v>
      </c>
      <c r="B53" s="3" t="s">
        <v>244</v>
      </c>
      <c r="C53" s="3" t="s">
        <v>6</v>
      </c>
      <c r="D53" s="4">
        <f>ROUND(96688300,2)</f>
        <v>96688300</v>
      </c>
      <c r="E53" s="4">
        <f t="shared" si="25"/>
        <v>0</v>
      </c>
      <c r="F53" s="4">
        <f>ROUND(96688300,2)</f>
        <v>96688300</v>
      </c>
      <c r="G53" s="4">
        <f t="shared" si="26"/>
        <v>0</v>
      </c>
      <c r="H53" s="4">
        <f>ROUND(0,2)</f>
        <v>0</v>
      </c>
      <c r="I53" s="4">
        <f t="shared" si="34"/>
        <v>0</v>
      </c>
      <c r="J53" s="4">
        <f>ROUND(41970068.88,2)</f>
        <v>41970068.88</v>
      </c>
      <c r="K53" s="4">
        <f t="shared" si="31"/>
        <v>0</v>
      </c>
      <c r="L53" s="4">
        <f>ROUND(41970068.88,2)</f>
        <v>41970068.88</v>
      </c>
      <c r="M53" s="4">
        <f t="shared" si="32"/>
        <v>0</v>
      </c>
      <c r="N53" s="4">
        <f>ROUND(0,2)</f>
        <v>0</v>
      </c>
      <c r="O53" s="4">
        <f t="shared" si="33"/>
        <v>0</v>
      </c>
      <c r="P53" s="4">
        <f>ROUND(43.41,2)</f>
        <v>43.41</v>
      </c>
      <c r="Q53" s="4">
        <f>ROUND(43.41,2)</f>
        <v>43.41</v>
      </c>
      <c r="R53" s="4">
        <f>ROUND(0,2)</f>
        <v>0</v>
      </c>
    </row>
    <row r="54" spans="1:18" ht="18.75">
      <c r="A54" s="2" t="s">
        <v>128</v>
      </c>
      <c r="B54" s="3" t="s">
        <v>12</v>
      </c>
      <c r="C54" s="3" t="s">
        <v>267</v>
      </c>
      <c r="D54" s="4">
        <f>ROUND(9855000,2)</f>
        <v>9855000</v>
      </c>
      <c r="E54" s="4">
        <f t="shared" si="25"/>
        <v>0</v>
      </c>
      <c r="F54" s="4">
        <f>ROUND(3431000,2)</f>
        <v>3431000</v>
      </c>
      <c r="G54" s="4">
        <f t="shared" si="26"/>
        <v>0</v>
      </c>
      <c r="H54" s="4">
        <f>ROUND(6424000,2)</f>
        <v>6424000</v>
      </c>
      <c r="I54" s="4">
        <f t="shared" si="34"/>
        <v>0</v>
      </c>
      <c r="J54" s="4">
        <f>ROUND(3377984.09,2)</f>
        <v>3377984.09</v>
      </c>
      <c r="K54" s="4">
        <f t="shared" si="31"/>
        <v>0</v>
      </c>
      <c r="L54" s="4">
        <f>ROUND(1237966,2)</f>
        <v>1237966</v>
      </c>
      <c r="M54" s="4">
        <f t="shared" si="32"/>
        <v>0</v>
      </c>
      <c r="N54" s="4">
        <f>ROUND(2140018.09,2)</f>
        <v>2140018.09</v>
      </c>
      <c r="O54" s="4">
        <f t="shared" si="33"/>
        <v>0</v>
      </c>
      <c r="P54" s="4">
        <f>ROUND(34.28,2)</f>
        <v>34.28</v>
      </c>
      <c r="Q54" s="4">
        <f>ROUND(36.08,2)</f>
        <v>36.08</v>
      </c>
      <c r="R54" s="4">
        <f>ROUND(33.31,2)</f>
        <v>33.31</v>
      </c>
    </row>
    <row r="55" spans="1:18" ht="18.75">
      <c r="A55" s="2" t="s">
        <v>15</v>
      </c>
      <c r="B55" s="3" t="s">
        <v>269</v>
      </c>
      <c r="C55" s="3" t="s">
        <v>38</v>
      </c>
      <c r="D55" s="4">
        <f>ROUND(28699825,2)</f>
        <v>28699825</v>
      </c>
      <c r="E55" s="4">
        <f t="shared" si="25"/>
        <v>0</v>
      </c>
      <c r="F55" s="4">
        <f>ROUND(15279300,2)</f>
        <v>15279300</v>
      </c>
      <c r="G55" s="4">
        <f t="shared" si="26"/>
        <v>0</v>
      </c>
      <c r="H55" s="4">
        <f>ROUND(13420525,2)</f>
        <v>13420525</v>
      </c>
      <c r="I55" s="4">
        <f t="shared" si="34"/>
        <v>0</v>
      </c>
      <c r="J55" s="4">
        <f>ROUND(12135764.58,2)</f>
        <v>12135764.58</v>
      </c>
      <c r="K55" s="4">
        <f t="shared" si="31"/>
        <v>0</v>
      </c>
      <c r="L55" s="4">
        <f>ROUND(6109692.84,2)</f>
        <v>6109692.84</v>
      </c>
      <c r="M55" s="4">
        <f t="shared" si="32"/>
        <v>0</v>
      </c>
      <c r="N55" s="4">
        <f>ROUND(6026071.74,2)</f>
        <v>6026071.74</v>
      </c>
      <c r="O55" s="4">
        <f t="shared" si="33"/>
        <v>0</v>
      </c>
      <c r="P55" s="4">
        <f>ROUND(42.29,2)</f>
        <v>42.29</v>
      </c>
      <c r="Q55" s="4">
        <f>ROUND(39.99,2)</f>
        <v>39.99</v>
      </c>
      <c r="R55" s="4">
        <f>ROUND(44.9,2)</f>
        <v>44.9</v>
      </c>
    </row>
    <row r="56" spans="1:18" ht="18.75">
      <c r="A56" s="2" t="s">
        <v>165</v>
      </c>
      <c r="B56" s="3" t="s">
        <v>10</v>
      </c>
      <c r="C56" s="3" t="s">
        <v>29</v>
      </c>
      <c r="D56" s="4">
        <f>ROUND(40528325.78,2)</f>
        <v>40528325.78</v>
      </c>
      <c r="E56" s="4">
        <f t="shared" si="25"/>
        <v>0</v>
      </c>
      <c r="F56" s="4">
        <f>ROUND(34852975.78,2)</f>
        <v>34852975.78</v>
      </c>
      <c r="G56" s="4">
        <f t="shared" si="26"/>
        <v>0</v>
      </c>
      <c r="H56" s="4">
        <f>ROUND(5675350,2)</f>
        <v>5675350</v>
      </c>
      <c r="I56" s="4">
        <f t="shared" si="34"/>
        <v>0</v>
      </c>
      <c r="J56" s="4">
        <f>ROUND(14571373.03,2)</f>
        <v>14571373.03</v>
      </c>
      <c r="K56" s="4">
        <f t="shared" si="31"/>
        <v>0</v>
      </c>
      <c r="L56" s="4">
        <f>ROUND(12540156.92,2)</f>
        <v>12540156.92</v>
      </c>
      <c r="M56" s="4">
        <f t="shared" si="32"/>
        <v>0</v>
      </c>
      <c r="N56" s="4">
        <f>ROUND(2031216.11,2)</f>
        <v>2031216.11</v>
      </c>
      <c r="O56" s="4">
        <f t="shared" si="33"/>
        <v>0</v>
      </c>
      <c r="P56" s="4">
        <f>ROUND(35.95,2)</f>
        <v>35.95</v>
      </c>
      <c r="Q56" s="4">
        <f>ROUND(35.98,2)</f>
        <v>35.98</v>
      </c>
      <c r="R56" s="4">
        <f>ROUND(35.79,2)</f>
        <v>35.79</v>
      </c>
    </row>
    <row r="57" spans="1:18" ht="18.75">
      <c r="A57" s="2" t="s">
        <v>7</v>
      </c>
      <c r="B57" s="3" t="s">
        <v>87</v>
      </c>
      <c r="C57" s="3" t="s">
        <v>234</v>
      </c>
      <c r="D57" s="4">
        <f>ROUND(29199275.78,2)</f>
        <v>29199275.78</v>
      </c>
      <c r="E57" s="4">
        <f t="shared" si="25"/>
        <v>0</v>
      </c>
      <c r="F57" s="4">
        <f>ROUND(29199275.78,2)</f>
        <v>29199275.78</v>
      </c>
      <c r="G57" s="4">
        <f t="shared" si="26"/>
        <v>0</v>
      </c>
      <c r="H57" s="4">
        <f>ROUND(0,2)</f>
        <v>0</v>
      </c>
      <c r="I57" s="4">
        <f t="shared" si="34"/>
        <v>0</v>
      </c>
      <c r="J57" s="4">
        <f>ROUND(10471776.95,2)</f>
        <v>10471776.95</v>
      </c>
      <c r="K57" s="4">
        <f t="shared" si="31"/>
        <v>0</v>
      </c>
      <c r="L57" s="4">
        <f>ROUND(10471776.95,2)</f>
        <v>10471776.95</v>
      </c>
      <c r="M57" s="4">
        <f t="shared" si="32"/>
        <v>0</v>
      </c>
      <c r="N57" s="4">
        <f>ROUND(0,2)</f>
        <v>0</v>
      </c>
      <c r="O57" s="4">
        <f t="shared" si="33"/>
        <v>0</v>
      </c>
      <c r="P57" s="4">
        <f>ROUND(35.86,2)</f>
        <v>35.86</v>
      </c>
      <c r="Q57" s="4">
        <f>ROUND(35.86,2)</f>
        <v>35.86</v>
      </c>
      <c r="R57" s="4">
        <f>ROUND(0,2)</f>
        <v>0</v>
      </c>
    </row>
    <row r="58" spans="1:18" ht="18.75">
      <c r="A58" s="2" t="s">
        <v>106</v>
      </c>
      <c r="B58" s="3" t="s">
        <v>185</v>
      </c>
      <c r="C58" s="3" t="s">
        <v>267</v>
      </c>
      <c r="D58" s="4">
        <f>ROUND(2962000,2)</f>
        <v>2962000</v>
      </c>
      <c r="E58" s="4">
        <f t="shared" si="25"/>
        <v>0</v>
      </c>
      <c r="F58" s="4">
        <f>ROUND(1037000,2)</f>
        <v>1037000</v>
      </c>
      <c r="G58" s="4">
        <f t="shared" si="26"/>
        <v>0</v>
      </c>
      <c r="H58" s="4">
        <f>ROUND(1925000,2)</f>
        <v>1925000</v>
      </c>
      <c r="I58" s="4">
        <f t="shared" si="34"/>
        <v>0</v>
      </c>
      <c r="J58" s="4">
        <f>ROUND(980343.31,2)</f>
        <v>980343.31</v>
      </c>
      <c r="K58" s="4">
        <f t="shared" si="31"/>
        <v>0</v>
      </c>
      <c r="L58" s="4">
        <f>ROUND(375147.01,2)</f>
        <v>375147.01</v>
      </c>
      <c r="M58" s="4">
        <f t="shared" si="32"/>
        <v>0</v>
      </c>
      <c r="N58" s="4">
        <f>ROUND(605196.3,2)</f>
        <v>605196.3</v>
      </c>
      <c r="O58" s="4">
        <f t="shared" si="33"/>
        <v>0</v>
      </c>
      <c r="P58" s="4">
        <f>ROUND(33.1,2)</f>
        <v>33.1</v>
      </c>
      <c r="Q58" s="4">
        <f>ROUND(36.18,2)</f>
        <v>36.18</v>
      </c>
      <c r="R58" s="4">
        <f>ROUND(31.44,2)</f>
        <v>31.44</v>
      </c>
    </row>
    <row r="59" spans="1:18" ht="18.75">
      <c r="A59" s="2" t="s">
        <v>2</v>
      </c>
      <c r="B59" s="3" t="s">
        <v>72</v>
      </c>
      <c r="C59" s="3" t="s">
        <v>38</v>
      </c>
      <c r="D59" s="4">
        <f>ROUND(8367050,2)</f>
        <v>8367050</v>
      </c>
      <c r="E59" s="4">
        <f t="shared" si="25"/>
        <v>0</v>
      </c>
      <c r="F59" s="4">
        <f>ROUND(4616700,2)</f>
        <v>4616700</v>
      </c>
      <c r="G59" s="4">
        <f t="shared" si="26"/>
        <v>0</v>
      </c>
      <c r="H59" s="4">
        <f>ROUND(3750350,2)</f>
        <v>3750350</v>
      </c>
      <c r="I59" s="4">
        <f t="shared" si="34"/>
        <v>0</v>
      </c>
      <c r="J59" s="4">
        <f>ROUND(3119252.77,2)</f>
        <v>3119252.77</v>
      </c>
      <c r="K59" s="4">
        <f t="shared" si="31"/>
        <v>0</v>
      </c>
      <c r="L59" s="4">
        <f>ROUND(1693232.96,2)</f>
        <v>1693232.96</v>
      </c>
      <c r="M59" s="4">
        <f t="shared" si="32"/>
        <v>0</v>
      </c>
      <c r="N59" s="4">
        <f>ROUND(1426019.81,2)</f>
        <v>1426019.81</v>
      </c>
      <c r="O59" s="4">
        <f t="shared" si="33"/>
        <v>0</v>
      </c>
      <c r="P59" s="4">
        <f>ROUND(37.28,2)</f>
        <v>37.28</v>
      </c>
      <c r="Q59" s="4">
        <f>ROUND(36.68,2)</f>
        <v>36.68</v>
      </c>
      <c r="R59" s="4">
        <f>ROUND(38.02,2)</f>
        <v>38.02</v>
      </c>
    </row>
    <row r="60" spans="1:18" ht="36.75">
      <c r="A60" s="2" t="s">
        <v>171</v>
      </c>
      <c r="B60" s="3" t="s">
        <v>39</v>
      </c>
      <c r="C60" s="3" t="s">
        <v>35</v>
      </c>
      <c r="D60" s="4">
        <f>ROUND(19144075.48,2)</f>
        <v>19144075.48</v>
      </c>
      <c r="E60" s="4">
        <f t="shared" si="25"/>
        <v>0</v>
      </c>
      <c r="F60" s="4">
        <f>ROUND(16967743.45,2)</f>
        <v>16967743.45</v>
      </c>
      <c r="G60" s="4">
        <f t="shared" si="26"/>
        <v>0</v>
      </c>
      <c r="H60" s="4">
        <f>ROUND(2176332.03,2)</f>
        <v>2176332.03</v>
      </c>
      <c r="I60" s="4">
        <f t="shared" si="34"/>
        <v>0</v>
      </c>
      <c r="J60" s="4">
        <f aca="true" t="shared" si="35" ref="J60:J76">ROUND(0,2)</f>
        <v>0</v>
      </c>
      <c r="K60" s="4">
        <f t="shared" si="31"/>
        <v>0</v>
      </c>
      <c r="L60" s="4">
        <f aca="true" t="shared" si="36" ref="L60:L76">ROUND(0,2)</f>
        <v>0</v>
      </c>
      <c r="M60" s="4">
        <f t="shared" si="32"/>
        <v>0</v>
      </c>
      <c r="N60" s="4">
        <f aca="true" t="shared" si="37" ref="N60:N76">ROUND(0,2)</f>
        <v>0</v>
      </c>
      <c r="O60" s="4">
        <f t="shared" si="33"/>
        <v>0</v>
      </c>
      <c r="P60" s="4">
        <f aca="true" t="shared" si="38" ref="P60:R79">ROUND(0,2)</f>
        <v>0</v>
      </c>
      <c r="Q60" s="4">
        <f t="shared" si="38"/>
        <v>0</v>
      </c>
      <c r="R60" s="4">
        <f t="shared" si="38"/>
        <v>0</v>
      </c>
    </row>
    <row r="61" spans="1:18" ht="18.75">
      <c r="A61" s="2" t="s">
        <v>21</v>
      </c>
      <c r="B61" s="3" t="s">
        <v>195</v>
      </c>
      <c r="C61" s="3" t="s">
        <v>33</v>
      </c>
      <c r="D61" s="4">
        <f>ROUND(14681611.58,2)</f>
        <v>14681611.58</v>
      </c>
      <c r="E61" s="4">
        <f t="shared" si="25"/>
        <v>0</v>
      </c>
      <c r="F61" s="4">
        <f>ROUND(13003096.72,2)</f>
        <v>13003096.72</v>
      </c>
      <c r="G61" s="4">
        <f t="shared" si="26"/>
        <v>0</v>
      </c>
      <c r="H61" s="4">
        <f>ROUND(1678514.86,2)</f>
        <v>1678514.86</v>
      </c>
      <c r="I61" s="4">
        <f t="shared" si="34"/>
        <v>0</v>
      </c>
      <c r="J61" s="4">
        <f t="shared" si="35"/>
        <v>0</v>
      </c>
      <c r="K61" s="4">
        <f t="shared" si="31"/>
        <v>0</v>
      </c>
      <c r="L61" s="4">
        <f t="shared" si="36"/>
        <v>0</v>
      </c>
      <c r="M61" s="4">
        <f t="shared" si="32"/>
        <v>0</v>
      </c>
      <c r="N61" s="4">
        <f t="shared" si="37"/>
        <v>0</v>
      </c>
      <c r="O61" s="4">
        <f t="shared" si="33"/>
        <v>0</v>
      </c>
      <c r="P61" s="4">
        <f t="shared" si="38"/>
        <v>0</v>
      </c>
      <c r="Q61" s="4">
        <f t="shared" si="38"/>
        <v>0</v>
      </c>
      <c r="R61" s="4">
        <f t="shared" si="38"/>
        <v>0</v>
      </c>
    </row>
    <row r="62" spans="1:18" ht="18.75">
      <c r="A62" s="2" t="s">
        <v>149</v>
      </c>
      <c r="B62" s="3" t="s">
        <v>57</v>
      </c>
      <c r="C62" s="3" t="s">
        <v>145</v>
      </c>
      <c r="D62" s="4">
        <f>ROUND(10248500,2)</f>
        <v>10248500</v>
      </c>
      <c r="E62" s="4">
        <f t="shared" si="25"/>
        <v>0</v>
      </c>
      <c r="F62" s="4">
        <f>ROUND(10248500,2)</f>
        <v>10248500</v>
      </c>
      <c r="G62" s="4">
        <f t="shared" si="26"/>
        <v>0</v>
      </c>
      <c r="H62" s="4">
        <f>ROUND(0,2)</f>
        <v>0</v>
      </c>
      <c r="I62" s="4">
        <f t="shared" si="34"/>
        <v>0</v>
      </c>
      <c r="J62" s="4">
        <f t="shared" si="35"/>
        <v>0</v>
      </c>
      <c r="K62" s="4">
        <f t="shared" si="31"/>
        <v>0</v>
      </c>
      <c r="L62" s="4">
        <f t="shared" si="36"/>
        <v>0</v>
      </c>
      <c r="M62" s="4">
        <f t="shared" si="32"/>
        <v>0</v>
      </c>
      <c r="N62" s="4">
        <f t="shared" si="37"/>
        <v>0</v>
      </c>
      <c r="O62" s="4">
        <f t="shared" si="33"/>
        <v>0</v>
      </c>
      <c r="P62" s="4">
        <f t="shared" si="38"/>
        <v>0</v>
      </c>
      <c r="Q62" s="4">
        <f t="shared" si="38"/>
        <v>0</v>
      </c>
      <c r="R62" s="4">
        <f t="shared" si="38"/>
        <v>0</v>
      </c>
    </row>
    <row r="63" spans="1:18" ht="18.75">
      <c r="A63" s="2" t="s">
        <v>30</v>
      </c>
      <c r="B63" s="3" t="s">
        <v>168</v>
      </c>
      <c r="C63" s="3" t="s">
        <v>197</v>
      </c>
      <c r="D63" s="4">
        <f>ROUND(7881000,2)</f>
        <v>7881000</v>
      </c>
      <c r="E63" s="4">
        <f t="shared" si="25"/>
        <v>0</v>
      </c>
      <c r="F63" s="4">
        <f>ROUND(7881000,2)</f>
        <v>7881000</v>
      </c>
      <c r="G63" s="4">
        <f t="shared" si="26"/>
        <v>0</v>
      </c>
      <c r="H63" s="4">
        <f>ROUND(0,2)</f>
        <v>0</v>
      </c>
      <c r="I63" s="4">
        <f t="shared" si="34"/>
        <v>0</v>
      </c>
      <c r="J63" s="4">
        <f t="shared" si="35"/>
        <v>0</v>
      </c>
      <c r="K63" s="4">
        <f t="shared" si="31"/>
        <v>0</v>
      </c>
      <c r="L63" s="4">
        <f t="shared" si="36"/>
        <v>0</v>
      </c>
      <c r="M63" s="4">
        <f t="shared" si="32"/>
        <v>0</v>
      </c>
      <c r="N63" s="4">
        <f t="shared" si="37"/>
        <v>0</v>
      </c>
      <c r="O63" s="4">
        <f t="shared" si="33"/>
        <v>0</v>
      </c>
      <c r="P63" s="4">
        <f t="shared" si="38"/>
        <v>0</v>
      </c>
      <c r="Q63" s="4">
        <f t="shared" si="38"/>
        <v>0</v>
      </c>
      <c r="R63" s="4">
        <f t="shared" si="38"/>
        <v>0</v>
      </c>
    </row>
    <row r="64" spans="1:18" ht="27.75">
      <c r="A64" s="2" t="s">
        <v>140</v>
      </c>
      <c r="B64" s="3" t="s">
        <v>114</v>
      </c>
      <c r="C64" s="3" t="s">
        <v>80</v>
      </c>
      <c r="D64" s="4">
        <f>ROUND(789800,2)</f>
        <v>789800</v>
      </c>
      <c r="E64" s="4">
        <f aca="true" t="shared" si="39" ref="E64:E97">ROUND(0,2)</f>
        <v>0</v>
      </c>
      <c r="F64" s="4">
        <f>ROUND(789800,2)</f>
        <v>789800</v>
      </c>
      <c r="G64" s="4">
        <f aca="true" t="shared" si="40" ref="G64:G97">ROUND(0,2)</f>
        <v>0</v>
      </c>
      <c r="H64" s="4">
        <f>ROUND(0,2)</f>
        <v>0</v>
      </c>
      <c r="I64" s="4">
        <f t="shared" si="34"/>
        <v>0</v>
      </c>
      <c r="J64" s="4">
        <f t="shared" si="35"/>
        <v>0</v>
      </c>
      <c r="K64" s="4">
        <f t="shared" si="31"/>
        <v>0</v>
      </c>
      <c r="L64" s="4">
        <f t="shared" si="36"/>
        <v>0</v>
      </c>
      <c r="M64" s="4">
        <f t="shared" si="32"/>
        <v>0</v>
      </c>
      <c r="N64" s="4">
        <f t="shared" si="37"/>
        <v>0</v>
      </c>
      <c r="O64" s="4">
        <f t="shared" si="33"/>
        <v>0</v>
      </c>
      <c r="P64" s="4">
        <f t="shared" si="38"/>
        <v>0</v>
      </c>
      <c r="Q64" s="4">
        <f t="shared" si="38"/>
        <v>0</v>
      </c>
      <c r="R64" s="4">
        <f t="shared" si="38"/>
        <v>0</v>
      </c>
    </row>
    <row r="65" spans="1:18" ht="27.75">
      <c r="A65" s="2" t="s">
        <v>121</v>
      </c>
      <c r="B65" s="3" t="s">
        <v>190</v>
      </c>
      <c r="C65" s="3" t="s">
        <v>130</v>
      </c>
      <c r="D65" s="4">
        <f>ROUND(537000,2)</f>
        <v>537000</v>
      </c>
      <c r="E65" s="4">
        <f t="shared" si="39"/>
        <v>0</v>
      </c>
      <c r="F65" s="4">
        <f>ROUND(537000,2)</f>
        <v>537000</v>
      </c>
      <c r="G65" s="4">
        <f t="shared" si="40"/>
        <v>0</v>
      </c>
      <c r="H65" s="4">
        <f>ROUND(0,2)</f>
        <v>0</v>
      </c>
      <c r="I65" s="4">
        <f t="shared" si="34"/>
        <v>0</v>
      </c>
      <c r="J65" s="4">
        <f t="shared" si="35"/>
        <v>0</v>
      </c>
      <c r="K65" s="4">
        <f t="shared" si="31"/>
        <v>0</v>
      </c>
      <c r="L65" s="4">
        <f t="shared" si="36"/>
        <v>0</v>
      </c>
      <c r="M65" s="4">
        <f t="shared" si="32"/>
        <v>0</v>
      </c>
      <c r="N65" s="4">
        <f t="shared" si="37"/>
        <v>0</v>
      </c>
      <c r="O65" s="4">
        <f t="shared" si="33"/>
        <v>0</v>
      </c>
      <c r="P65" s="4">
        <f t="shared" si="38"/>
        <v>0</v>
      </c>
      <c r="Q65" s="4">
        <f t="shared" si="38"/>
        <v>0</v>
      </c>
      <c r="R65" s="4">
        <f t="shared" si="38"/>
        <v>0</v>
      </c>
    </row>
    <row r="66" spans="1:18" ht="18.75">
      <c r="A66" s="2" t="s">
        <v>204</v>
      </c>
      <c r="B66" s="3" t="s">
        <v>31</v>
      </c>
      <c r="C66" s="3" t="s">
        <v>197</v>
      </c>
      <c r="D66" s="4">
        <f>ROUND(182200,2)</f>
        <v>182200</v>
      </c>
      <c r="E66" s="4">
        <f t="shared" si="39"/>
        <v>0</v>
      </c>
      <c r="F66" s="4">
        <f>ROUND(182200,2)</f>
        <v>182200</v>
      </c>
      <c r="G66" s="4">
        <f t="shared" si="40"/>
        <v>0</v>
      </c>
      <c r="H66" s="4">
        <f>ROUND(0,2)</f>
        <v>0</v>
      </c>
      <c r="I66" s="4">
        <f t="shared" si="34"/>
        <v>0</v>
      </c>
      <c r="J66" s="4">
        <f t="shared" si="35"/>
        <v>0</v>
      </c>
      <c r="K66" s="4">
        <f t="shared" si="31"/>
        <v>0</v>
      </c>
      <c r="L66" s="4">
        <f t="shared" si="36"/>
        <v>0</v>
      </c>
      <c r="M66" s="4">
        <f t="shared" si="32"/>
        <v>0</v>
      </c>
      <c r="N66" s="4">
        <f t="shared" si="37"/>
        <v>0</v>
      </c>
      <c r="O66" s="4">
        <f t="shared" si="33"/>
        <v>0</v>
      </c>
      <c r="P66" s="4">
        <f t="shared" si="38"/>
        <v>0</v>
      </c>
      <c r="Q66" s="4">
        <f t="shared" si="38"/>
        <v>0</v>
      </c>
      <c r="R66" s="4">
        <f t="shared" si="38"/>
        <v>0</v>
      </c>
    </row>
    <row r="67" spans="1:18" ht="18.75">
      <c r="A67" s="2" t="s">
        <v>78</v>
      </c>
      <c r="B67" s="3" t="s">
        <v>16</v>
      </c>
      <c r="C67" s="3" t="s">
        <v>79</v>
      </c>
      <c r="D67" s="4">
        <f>ROUND(2176332.03,2)</f>
        <v>2176332.03</v>
      </c>
      <c r="E67" s="4">
        <f t="shared" si="39"/>
        <v>0</v>
      </c>
      <c r="F67" s="4">
        <f>ROUND(0,2)</f>
        <v>0</v>
      </c>
      <c r="G67" s="4">
        <f t="shared" si="40"/>
        <v>0</v>
      </c>
      <c r="H67" s="4">
        <f>ROUND(2176332.03,2)</f>
        <v>2176332.03</v>
      </c>
      <c r="I67" s="4">
        <f t="shared" si="34"/>
        <v>0</v>
      </c>
      <c r="J67" s="4">
        <f t="shared" si="35"/>
        <v>0</v>
      </c>
      <c r="K67" s="4">
        <f t="shared" si="31"/>
        <v>0</v>
      </c>
      <c r="L67" s="4">
        <f t="shared" si="36"/>
        <v>0</v>
      </c>
      <c r="M67" s="4">
        <f t="shared" si="32"/>
        <v>0</v>
      </c>
      <c r="N67" s="4">
        <f t="shared" si="37"/>
        <v>0</v>
      </c>
      <c r="O67" s="4">
        <f t="shared" si="33"/>
        <v>0</v>
      </c>
      <c r="P67" s="4">
        <f t="shared" si="38"/>
        <v>0</v>
      </c>
      <c r="Q67" s="4">
        <f t="shared" si="38"/>
        <v>0</v>
      </c>
      <c r="R67" s="4">
        <f t="shared" si="38"/>
        <v>0</v>
      </c>
    </row>
    <row r="68" spans="1:18" ht="18.75">
      <c r="A68" s="2" t="s">
        <v>181</v>
      </c>
      <c r="B68" s="3" t="s">
        <v>138</v>
      </c>
      <c r="C68" s="3" t="s">
        <v>197</v>
      </c>
      <c r="D68" s="4">
        <f>ROUND(2056512.08,2)</f>
        <v>2056512.08</v>
      </c>
      <c r="E68" s="4">
        <f t="shared" si="39"/>
        <v>0</v>
      </c>
      <c r="F68" s="4">
        <f>ROUND(377996.72,2)</f>
        <v>377996.72</v>
      </c>
      <c r="G68" s="4">
        <f t="shared" si="40"/>
        <v>0</v>
      </c>
      <c r="H68" s="4">
        <f>ROUND(1678515.36,2)</f>
        <v>1678515.36</v>
      </c>
      <c r="I68" s="4">
        <f t="shared" si="34"/>
        <v>0</v>
      </c>
      <c r="J68" s="4">
        <f t="shared" si="35"/>
        <v>0</v>
      </c>
      <c r="K68" s="4">
        <f t="shared" si="31"/>
        <v>0</v>
      </c>
      <c r="L68" s="4">
        <f t="shared" si="36"/>
        <v>0</v>
      </c>
      <c r="M68" s="4">
        <f t="shared" si="32"/>
        <v>0</v>
      </c>
      <c r="N68" s="4">
        <f t="shared" si="37"/>
        <v>0</v>
      </c>
      <c r="O68" s="4">
        <f t="shared" si="33"/>
        <v>0</v>
      </c>
      <c r="P68" s="4">
        <f t="shared" si="38"/>
        <v>0</v>
      </c>
      <c r="Q68" s="4">
        <f t="shared" si="38"/>
        <v>0</v>
      </c>
      <c r="R68" s="4">
        <f t="shared" si="38"/>
        <v>0</v>
      </c>
    </row>
    <row r="69" spans="1:18" ht="18.75">
      <c r="A69" s="2" t="s">
        <v>176</v>
      </c>
      <c r="B69" s="3" t="s">
        <v>105</v>
      </c>
      <c r="C69" s="3" t="s">
        <v>233</v>
      </c>
      <c r="D69" s="4">
        <f>ROUND(13060,2)</f>
        <v>13060</v>
      </c>
      <c r="E69" s="4">
        <f t="shared" si="39"/>
        <v>0</v>
      </c>
      <c r="F69" s="4">
        <f>ROUND(13060,2)</f>
        <v>13060</v>
      </c>
      <c r="G69" s="4">
        <f t="shared" si="40"/>
        <v>0</v>
      </c>
      <c r="H69" s="4">
        <f>ROUND(0,2)</f>
        <v>0</v>
      </c>
      <c r="I69" s="4">
        <f t="shared" si="34"/>
        <v>0</v>
      </c>
      <c r="J69" s="4">
        <f t="shared" si="35"/>
        <v>0</v>
      </c>
      <c r="K69" s="4">
        <f t="shared" si="31"/>
        <v>0</v>
      </c>
      <c r="L69" s="4">
        <f t="shared" si="36"/>
        <v>0</v>
      </c>
      <c r="M69" s="4">
        <f t="shared" si="32"/>
        <v>0</v>
      </c>
      <c r="N69" s="4">
        <f t="shared" si="37"/>
        <v>0</v>
      </c>
      <c r="O69" s="4">
        <f t="shared" si="33"/>
        <v>0</v>
      </c>
      <c r="P69" s="4">
        <f t="shared" si="38"/>
        <v>0</v>
      </c>
      <c r="Q69" s="4">
        <f t="shared" si="38"/>
        <v>0</v>
      </c>
      <c r="R69" s="4">
        <f t="shared" si="38"/>
        <v>0</v>
      </c>
    </row>
    <row r="70" spans="1:18" ht="36.75">
      <c r="A70" s="2" t="s">
        <v>68</v>
      </c>
      <c r="B70" s="3" t="s">
        <v>154</v>
      </c>
      <c r="C70" s="3" t="s">
        <v>17</v>
      </c>
      <c r="D70" s="4">
        <f>ROUND(19203,2)</f>
        <v>19203</v>
      </c>
      <c r="E70" s="4">
        <f t="shared" si="39"/>
        <v>0</v>
      </c>
      <c r="F70" s="4">
        <f>ROUND(19203,2)</f>
        <v>19203</v>
      </c>
      <c r="G70" s="4">
        <f t="shared" si="40"/>
        <v>0</v>
      </c>
      <c r="H70" s="4">
        <f>ROUND(0,2)</f>
        <v>0</v>
      </c>
      <c r="I70" s="4">
        <f t="shared" si="34"/>
        <v>0</v>
      </c>
      <c r="J70" s="4">
        <f t="shared" si="35"/>
        <v>0</v>
      </c>
      <c r="K70" s="4">
        <f t="shared" si="31"/>
        <v>0</v>
      </c>
      <c r="L70" s="4">
        <f t="shared" si="36"/>
        <v>0</v>
      </c>
      <c r="M70" s="4">
        <f t="shared" si="32"/>
        <v>0</v>
      </c>
      <c r="N70" s="4">
        <f t="shared" si="37"/>
        <v>0</v>
      </c>
      <c r="O70" s="4">
        <f t="shared" si="33"/>
        <v>0</v>
      </c>
      <c r="P70" s="4">
        <f t="shared" si="38"/>
        <v>0</v>
      </c>
      <c r="Q70" s="4">
        <f t="shared" si="38"/>
        <v>0</v>
      </c>
      <c r="R70" s="4">
        <f t="shared" si="38"/>
        <v>0</v>
      </c>
    </row>
    <row r="71" spans="1:18" ht="36.75">
      <c r="A71" s="2" t="s">
        <v>182</v>
      </c>
      <c r="B71" s="3" t="s">
        <v>3</v>
      </c>
      <c r="C71" s="3" t="s">
        <v>219</v>
      </c>
      <c r="D71" s="4">
        <f>ROUND(15443,2)</f>
        <v>15443</v>
      </c>
      <c r="E71" s="4">
        <f t="shared" si="39"/>
        <v>0</v>
      </c>
      <c r="F71" s="4">
        <f>ROUND(15443,2)</f>
        <v>15443</v>
      </c>
      <c r="G71" s="4">
        <f t="shared" si="40"/>
        <v>0</v>
      </c>
      <c r="H71" s="4">
        <f>ROUND(0,2)</f>
        <v>0</v>
      </c>
      <c r="I71" s="4">
        <f t="shared" si="34"/>
        <v>0</v>
      </c>
      <c r="J71" s="4">
        <f t="shared" si="35"/>
        <v>0</v>
      </c>
      <c r="K71" s="4">
        <f t="shared" si="31"/>
        <v>0</v>
      </c>
      <c r="L71" s="4">
        <f t="shared" si="36"/>
        <v>0</v>
      </c>
      <c r="M71" s="4">
        <f t="shared" si="32"/>
        <v>0</v>
      </c>
      <c r="N71" s="4">
        <f t="shared" si="37"/>
        <v>0</v>
      </c>
      <c r="O71" s="4">
        <f t="shared" si="33"/>
        <v>0</v>
      </c>
      <c r="P71" s="4">
        <f t="shared" si="38"/>
        <v>0</v>
      </c>
      <c r="Q71" s="4">
        <f t="shared" si="38"/>
        <v>0</v>
      </c>
      <c r="R71" s="4">
        <f t="shared" si="38"/>
        <v>0</v>
      </c>
    </row>
    <row r="72" spans="1:18" ht="27.75">
      <c r="A72" s="2" t="s">
        <v>235</v>
      </c>
      <c r="B72" s="3" t="s">
        <v>119</v>
      </c>
      <c r="C72" s="3" t="s">
        <v>162</v>
      </c>
      <c r="D72" s="4">
        <f>ROUND(7544.44,2)</f>
        <v>7544.44</v>
      </c>
      <c r="E72" s="4">
        <f t="shared" si="39"/>
        <v>0</v>
      </c>
      <c r="F72" s="4">
        <f>ROUND(7544.44,2)</f>
        <v>7544.44</v>
      </c>
      <c r="G72" s="4">
        <f t="shared" si="40"/>
        <v>0</v>
      </c>
      <c r="H72" s="4">
        <f>ROUND(0,2)</f>
        <v>0</v>
      </c>
      <c r="I72" s="4">
        <f t="shared" si="34"/>
        <v>0</v>
      </c>
      <c r="J72" s="4">
        <f t="shared" si="35"/>
        <v>0</v>
      </c>
      <c r="K72" s="4">
        <f aca="true" t="shared" si="41" ref="K72:K97">ROUND(0,2)</f>
        <v>0</v>
      </c>
      <c r="L72" s="4">
        <f t="shared" si="36"/>
        <v>0</v>
      </c>
      <c r="M72" s="4">
        <f aca="true" t="shared" si="42" ref="M72:M97">ROUND(0,2)</f>
        <v>0</v>
      </c>
      <c r="N72" s="4">
        <f t="shared" si="37"/>
        <v>0</v>
      </c>
      <c r="O72" s="4">
        <f aca="true" t="shared" si="43" ref="O72:O97">ROUND(0,2)</f>
        <v>0</v>
      </c>
      <c r="P72" s="4">
        <f t="shared" si="38"/>
        <v>0</v>
      </c>
      <c r="Q72" s="4">
        <f t="shared" si="38"/>
        <v>0</v>
      </c>
      <c r="R72" s="4">
        <f t="shared" si="38"/>
        <v>0</v>
      </c>
    </row>
    <row r="73" spans="1:18" ht="36.75">
      <c r="A73" s="2" t="s">
        <v>179</v>
      </c>
      <c r="B73" s="3" t="s">
        <v>50</v>
      </c>
      <c r="C73" s="3" t="s">
        <v>35</v>
      </c>
      <c r="D73" s="4">
        <f>ROUND(384418.07,2)</f>
        <v>384418.07</v>
      </c>
      <c r="E73" s="4">
        <f t="shared" si="39"/>
        <v>0</v>
      </c>
      <c r="F73" s="4">
        <f>ROUND(0,2)</f>
        <v>0</v>
      </c>
      <c r="G73" s="4">
        <f t="shared" si="40"/>
        <v>0</v>
      </c>
      <c r="H73" s="4">
        <f>ROUND(384418.07,2)</f>
        <v>384418.07</v>
      </c>
      <c r="I73" s="4">
        <f t="shared" si="34"/>
        <v>0</v>
      </c>
      <c r="J73" s="4">
        <f t="shared" si="35"/>
        <v>0</v>
      </c>
      <c r="K73" s="4">
        <f t="shared" si="41"/>
        <v>0</v>
      </c>
      <c r="L73" s="4">
        <f t="shared" si="36"/>
        <v>0</v>
      </c>
      <c r="M73" s="4">
        <f t="shared" si="42"/>
        <v>0</v>
      </c>
      <c r="N73" s="4">
        <f t="shared" si="37"/>
        <v>0</v>
      </c>
      <c r="O73" s="4">
        <f t="shared" si="43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</row>
    <row r="74" spans="1:18" ht="18.75">
      <c r="A74" s="2" t="s">
        <v>13</v>
      </c>
      <c r="B74" s="3" t="s">
        <v>173</v>
      </c>
      <c r="C74" s="3" t="s">
        <v>33</v>
      </c>
      <c r="D74" s="4">
        <f>ROUND(289737,2)</f>
        <v>289737</v>
      </c>
      <c r="E74" s="4">
        <f t="shared" si="39"/>
        <v>0</v>
      </c>
      <c r="F74" s="4">
        <f>ROUND(0,2)</f>
        <v>0</v>
      </c>
      <c r="G74" s="4">
        <f t="shared" si="40"/>
        <v>0</v>
      </c>
      <c r="H74" s="4">
        <f>ROUND(289737,2)</f>
        <v>289737</v>
      </c>
      <c r="I74" s="4">
        <f t="shared" si="34"/>
        <v>0</v>
      </c>
      <c r="J74" s="4">
        <f t="shared" si="35"/>
        <v>0</v>
      </c>
      <c r="K74" s="4">
        <f t="shared" si="41"/>
        <v>0</v>
      </c>
      <c r="L74" s="4">
        <f t="shared" si="36"/>
        <v>0</v>
      </c>
      <c r="M74" s="4">
        <f t="shared" si="42"/>
        <v>0</v>
      </c>
      <c r="N74" s="4">
        <f t="shared" si="37"/>
        <v>0</v>
      </c>
      <c r="O74" s="4">
        <f t="shared" si="43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</row>
    <row r="75" spans="1:18" ht="18.75">
      <c r="A75" s="2" t="s">
        <v>172</v>
      </c>
      <c r="B75" s="3" t="s">
        <v>8</v>
      </c>
      <c r="C75" s="3" t="s">
        <v>79</v>
      </c>
      <c r="D75" s="4">
        <f>ROUND(384418.07,2)</f>
        <v>384418.07</v>
      </c>
      <c r="E75" s="4">
        <f t="shared" si="39"/>
        <v>0</v>
      </c>
      <c r="F75" s="4">
        <f>ROUND(0,2)</f>
        <v>0</v>
      </c>
      <c r="G75" s="4">
        <f t="shared" si="40"/>
        <v>0</v>
      </c>
      <c r="H75" s="4">
        <f>ROUND(384418.07,2)</f>
        <v>384418.07</v>
      </c>
      <c r="I75" s="4">
        <f t="shared" si="34"/>
        <v>0</v>
      </c>
      <c r="J75" s="4">
        <f t="shared" si="35"/>
        <v>0</v>
      </c>
      <c r="K75" s="4">
        <f t="shared" si="41"/>
        <v>0</v>
      </c>
      <c r="L75" s="4">
        <f t="shared" si="36"/>
        <v>0</v>
      </c>
      <c r="M75" s="4">
        <f t="shared" si="42"/>
        <v>0</v>
      </c>
      <c r="N75" s="4">
        <f t="shared" si="37"/>
        <v>0</v>
      </c>
      <c r="O75" s="4">
        <f t="shared" si="43"/>
        <v>0</v>
      </c>
      <c r="P75" s="4">
        <f t="shared" si="38"/>
        <v>0</v>
      </c>
      <c r="Q75" s="4">
        <f t="shared" si="38"/>
        <v>0</v>
      </c>
      <c r="R75" s="4">
        <f t="shared" si="38"/>
        <v>0</v>
      </c>
    </row>
    <row r="76" spans="1:18" ht="18.75">
      <c r="A76" s="2" t="s">
        <v>59</v>
      </c>
      <c r="B76" s="3" t="s">
        <v>163</v>
      </c>
      <c r="C76" s="3" t="s">
        <v>197</v>
      </c>
      <c r="D76" s="4">
        <f>ROUND(289737,2)</f>
        <v>289737</v>
      </c>
      <c r="E76" s="4">
        <f t="shared" si="39"/>
        <v>0</v>
      </c>
      <c r="F76" s="4">
        <f>ROUND(0,2)</f>
        <v>0</v>
      </c>
      <c r="G76" s="4">
        <f t="shared" si="40"/>
        <v>0</v>
      </c>
      <c r="H76" s="4">
        <f>ROUND(289737,2)</f>
        <v>289737</v>
      </c>
      <c r="I76" s="4">
        <f t="shared" si="34"/>
        <v>0</v>
      </c>
      <c r="J76" s="4">
        <f t="shared" si="35"/>
        <v>0</v>
      </c>
      <c r="K76" s="4">
        <f t="shared" si="41"/>
        <v>0</v>
      </c>
      <c r="L76" s="4">
        <f t="shared" si="36"/>
        <v>0</v>
      </c>
      <c r="M76" s="4">
        <f t="shared" si="42"/>
        <v>0</v>
      </c>
      <c r="N76" s="4">
        <f t="shared" si="37"/>
        <v>0</v>
      </c>
      <c r="O76" s="4">
        <f t="shared" si="43"/>
        <v>0</v>
      </c>
      <c r="P76" s="4">
        <f t="shared" si="38"/>
        <v>0</v>
      </c>
      <c r="Q76" s="4">
        <f t="shared" si="38"/>
        <v>0</v>
      </c>
      <c r="R76" s="4">
        <f t="shared" si="38"/>
        <v>0</v>
      </c>
    </row>
    <row r="77" spans="1:18" ht="27.75">
      <c r="A77" s="2" t="s">
        <v>40</v>
      </c>
      <c r="B77" s="3" t="s">
        <v>158</v>
      </c>
      <c r="C77" s="3" t="s">
        <v>101</v>
      </c>
      <c r="D77" s="4">
        <f>ROUND(45996130,2)</f>
        <v>45996130</v>
      </c>
      <c r="E77" s="4">
        <f t="shared" si="39"/>
        <v>0</v>
      </c>
      <c r="F77" s="4">
        <f>ROUND(23541000,2)</f>
        <v>23541000</v>
      </c>
      <c r="G77" s="4">
        <f t="shared" si="40"/>
        <v>0</v>
      </c>
      <c r="H77" s="4">
        <f>ROUND(22455130,2)</f>
        <v>22455130</v>
      </c>
      <c r="I77" s="4">
        <f t="shared" si="34"/>
        <v>0</v>
      </c>
      <c r="J77" s="4">
        <f>ROUND(19536891.06,2)</f>
        <v>19536891.06</v>
      </c>
      <c r="K77" s="4">
        <f t="shared" si="41"/>
        <v>0</v>
      </c>
      <c r="L77" s="4">
        <f>ROUND(9790161.95,2)</f>
        <v>9790161.95</v>
      </c>
      <c r="M77" s="4">
        <f t="shared" si="42"/>
        <v>0</v>
      </c>
      <c r="N77" s="4">
        <f>ROUND(9746729.11,2)</f>
        <v>9746729.11</v>
      </c>
      <c r="O77" s="4">
        <f t="shared" si="43"/>
        <v>0</v>
      </c>
      <c r="P77" s="4">
        <f t="shared" si="38"/>
        <v>0</v>
      </c>
      <c r="Q77" s="4">
        <f t="shared" si="38"/>
        <v>0</v>
      </c>
      <c r="R77" s="4">
        <f t="shared" si="38"/>
        <v>0</v>
      </c>
    </row>
    <row r="78" spans="1:18" ht="18.75">
      <c r="A78" s="2" t="s">
        <v>152</v>
      </c>
      <c r="B78" s="3" t="s">
        <v>77</v>
      </c>
      <c r="C78" s="3" t="s">
        <v>91</v>
      </c>
      <c r="D78" s="4">
        <f>ROUND(26850365,2)</f>
        <v>26850365</v>
      </c>
      <c r="E78" s="4">
        <f t="shared" si="39"/>
        <v>0</v>
      </c>
      <c r="F78" s="4">
        <f>ROUND(14123000,2)</f>
        <v>14123000</v>
      </c>
      <c r="G78" s="4">
        <f t="shared" si="40"/>
        <v>0</v>
      </c>
      <c r="H78" s="4">
        <f>ROUND(12727365,2)</f>
        <v>12727365</v>
      </c>
      <c r="I78" s="4">
        <f t="shared" si="34"/>
        <v>0</v>
      </c>
      <c r="J78" s="4">
        <f>ROUND(11464999.96,2)</f>
        <v>11464999.96</v>
      </c>
      <c r="K78" s="4">
        <f t="shared" si="41"/>
        <v>0</v>
      </c>
      <c r="L78" s="4">
        <f>ROUND(5726840.27,2)</f>
        <v>5726840.27</v>
      </c>
      <c r="M78" s="4">
        <f t="shared" si="42"/>
        <v>0</v>
      </c>
      <c r="N78" s="4">
        <f>ROUND(5738159.69,2)</f>
        <v>5738159.69</v>
      </c>
      <c r="O78" s="4">
        <f t="shared" si="43"/>
        <v>0</v>
      </c>
      <c r="P78" s="4">
        <f t="shared" si="38"/>
        <v>0</v>
      </c>
      <c r="Q78" s="4">
        <f t="shared" si="38"/>
        <v>0</v>
      </c>
      <c r="R78" s="4">
        <f t="shared" si="38"/>
        <v>0</v>
      </c>
    </row>
    <row r="79" spans="1:18" ht="12.75">
      <c r="A79" s="2" t="s">
        <v>4</v>
      </c>
      <c r="B79" s="3"/>
      <c r="C79" s="3" t="s">
        <v>250</v>
      </c>
      <c r="D79" s="4">
        <f>ROUND(6048370,2)</f>
        <v>6048370</v>
      </c>
      <c r="E79" s="4">
        <f t="shared" si="39"/>
        <v>0</v>
      </c>
      <c r="F79" s="4">
        <f>ROUND(493170,2)</f>
        <v>493170</v>
      </c>
      <c r="G79" s="4">
        <f t="shared" si="40"/>
        <v>0</v>
      </c>
      <c r="H79" s="4">
        <f>ROUND(5555200,2)</f>
        <v>5555200</v>
      </c>
      <c r="I79" s="4">
        <f t="shared" si="34"/>
        <v>0</v>
      </c>
      <c r="J79" s="4">
        <f>ROUND(2920487.84,2)</f>
        <v>2920487.84</v>
      </c>
      <c r="K79" s="4">
        <f t="shared" si="41"/>
        <v>0</v>
      </c>
      <c r="L79" s="4">
        <f>ROUND(200528,2)</f>
        <v>200528</v>
      </c>
      <c r="M79" s="4">
        <f t="shared" si="42"/>
        <v>0</v>
      </c>
      <c r="N79" s="4">
        <f>ROUND(2719959.84,2)</f>
        <v>2719959.84</v>
      </c>
      <c r="O79" s="4">
        <f t="shared" si="43"/>
        <v>0</v>
      </c>
      <c r="P79" s="4">
        <f t="shared" si="38"/>
        <v>0</v>
      </c>
      <c r="Q79" s="4">
        <f t="shared" si="38"/>
        <v>0</v>
      </c>
      <c r="R79" s="4">
        <f t="shared" si="38"/>
        <v>0</v>
      </c>
    </row>
    <row r="80" spans="1:18" ht="12.75">
      <c r="A80" s="2" t="s">
        <v>174</v>
      </c>
      <c r="B80" s="3"/>
      <c r="C80" s="3" t="s">
        <v>60</v>
      </c>
      <c r="D80" s="4">
        <f>ROUND(13543846,2)</f>
        <v>13543846</v>
      </c>
      <c r="E80" s="4">
        <f t="shared" si="39"/>
        <v>0</v>
      </c>
      <c r="F80" s="4">
        <f>ROUND(10515830,2)</f>
        <v>10515830</v>
      </c>
      <c r="G80" s="4">
        <f t="shared" si="40"/>
        <v>0</v>
      </c>
      <c r="H80" s="4">
        <f>ROUND(3028016,2)</f>
        <v>3028016</v>
      </c>
      <c r="I80" s="4">
        <f t="shared" si="34"/>
        <v>0</v>
      </c>
      <c r="J80" s="4">
        <f>ROUND(6077947.23,2)</f>
        <v>6077947.23</v>
      </c>
      <c r="K80" s="4">
        <f t="shared" si="41"/>
        <v>0</v>
      </c>
      <c r="L80" s="4">
        <f>ROUND(4722473.26,2)</f>
        <v>4722473.26</v>
      </c>
      <c r="M80" s="4">
        <f t="shared" si="42"/>
        <v>0</v>
      </c>
      <c r="N80" s="4">
        <f>ROUND(1355473.97,2)</f>
        <v>1355473.97</v>
      </c>
      <c r="O80" s="4">
        <f t="shared" si="43"/>
        <v>0</v>
      </c>
      <c r="P80" s="4">
        <f aca="true" t="shared" si="44" ref="P80:R97">ROUND(0,2)</f>
        <v>0</v>
      </c>
      <c r="Q80" s="4">
        <f t="shared" si="44"/>
        <v>0</v>
      </c>
      <c r="R80" s="4">
        <f t="shared" si="44"/>
        <v>0</v>
      </c>
    </row>
    <row r="81" spans="1:18" ht="12.75">
      <c r="A81" s="2" t="s">
        <v>52</v>
      </c>
      <c r="B81" s="3"/>
      <c r="C81" s="3" t="s">
        <v>45</v>
      </c>
      <c r="D81" s="4">
        <f>ROUND(7258149,2)</f>
        <v>7258149</v>
      </c>
      <c r="E81" s="4">
        <f t="shared" si="39"/>
        <v>0</v>
      </c>
      <c r="F81" s="4">
        <f>ROUND(3114000,2)</f>
        <v>3114000</v>
      </c>
      <c r="G81" s="4">
        <f t="shared" si="40"/>
        <v>0</v>
      </c>
      <c r="H81" s="4">
        <f>ROUND(4144149,2)</f>
        <v>4144149</v>
      </c>
      <c r="I81" s="4">
        <f t="shared" si="34"/>
        <v>0</v>
      </c>
      <c r="J81" s="4">
        <f>ROUND(2466564.89,2)</f>
        <v>2466564.89</v>
      </c>
      <c r="K81" s="4">
        <f t="shared" si="41"/>
        <v>0</v>
      </c>
      <c r="L81" s="4">
        <f>ROUND(803839.01,2)</f>
        <v>803839.01</v>
      </c>
      <c r="M81" s="4">
        <f t="shared" si="42"/>
        <v>0</v>
      </c>
      <c r="N81" s="4">
        <f>ROUND(1662725.88,2)</f>
        <v>1662725.88</v>
      </c>
      <c r="O81" s="4">
        <f t="shared" si="43"/>
        <v>0</v>
      </c>
      <c r="P81" s="4">
        <f t="shared" si="44"/>
        <v>0</v>
      </c>
      <c r="Q81" s="4">
        <f t="shared" si="44"/>
        <v>0</v>
      </c>
      <c r="R81" s="4">
        <f t="shared" si="44"/>
        <v>0</v>
      </c>
    </row>
    <row r="82" spans="1:18" ht="18.75">
      <c r="A82" s="2" t="s">
        <v>143</v>
      </c>
      <c r="B82" s="3" t="s">
        <v>203</v>
      </c>
      <c r="C82" s="3" t="s">
        <v>83</v>
      </c>
      <c r="D82" s="4">
        <f>ROUND(8061900,2)</f>
        <v>8061900</v>
      </c>
      <c r="E82" s="4">
        <f t="shared" si="39"/>
        <v>0</v>
      </c>
      <c r="F82" s="4">
        <f>ROUND(4268000,2)</f>
        <v>4268000</v>
      </c>
      <c r="G82" s="4">
        <f t="shared" si="40"/>
        <v>0</v>
      </c>
      <c r="H82" s="4">
        <f>ROUND(3793900,2)</f>
        <v>3793900</v>
      </c>
      <c r="I82" s="4">
        <f aca="true" t="shared" si="45" ref="I82:I97">ROUND(0,2)</f>
        <v>0</v>
      </c>
      <c r="J82" s="4">
        <f>ROUND(2932021.16,2)</f>
        <v>2932021.16</v>
      </c>
      <c r="K82" s="4">
        <f t="shared" si="41"/>
        <v>0</v>
      </c>
      <c r="L82" s="4">
        <f>ROUND(1588489.26,2)</f>
        <v>1588489.26</v>
      </c>
      <c r="M82" s="4">
        <f t="shared" si="42"/>
        <v>0</v>
      </c>
      <c r="N82" s="4">
        <f>ROUND(1343531.9,2)</f>
        <v>1343531.9</v>
      </c>
      <c r="O82" s="4">
        <f t="shared" si="43"/>
        <v>0</v>
      </c>
      <c r="P82" s="4">
        <f t="shared" si="44"/>
        <v>0</v>
      </c>
      <c r="Q82" s="4">
        <f t="shared" si="44"/>
        <v>0</v>
      </c>
      <c r="R82" s="4">
        <f t="shared" si="44"/>
        <v>0</v>
      </c>
    </row>
    <row r="83" spans="1:18" ht="12.75">
      <c r="A83" s="2" t="s">
        <v>28</v>
      </c>
      <c r="B83" s="3"/>
      <c r="C83" s="3" t="s">
        <v>250</v>
      </c>
      <c r="D83" s="4">
        <f>ROUND(1769837,2)</f>
        <v>1769837</v>
      </c>
      <c r="E83" s="4">
        <f t="shared" si="39"/>
        <v>0</v>
      </c>
      <c r="F83" s="4">
        <f>ROUND(148937,2)</f>
        <v>148937</v>
      </c>
      <c r="G83" s="4">
        <f t="shared" si="40"/>
        <v>0</v>
      </c>
      <c r="H83" s="4">
        <f>ROUND(1620900,2)</f>
        <v>1620900</v>
      </c>
      <c r="I83" s="4">
        <f t="shared" si="45"/>
        <v>0</v>
      </c>
      <c r="J83" s="4">
        <f>ROUND(670012.76,2)</f>
        <v>670012.76</v>
      </c>
      <c r="K83" s="4">
        <f t="shared" si="41"/>
        <v>0</v>
      </c>
      <c r="L83" s="4">
        <f>ROUND(60559.46,2)</f>
        <v>60559.46</v>
      </c>
      <c r="M83" s="4">
        <f t="shared" si="42"/>
        <v>0</v>
      </c>
      <c r="N83" s="4">
        <f>ROUND(609453.3,2)</f>
        <v>609453.3</v>
      </c>
      <c r="O83" s="4">
        <f t="shared" si="43"/>
        <v>0</v>
      </c>
      <c r="P83" s="4">
        <f t="shared" si="44"/>
        <v>0</v>
      </c>
      <c r="Q83" s="4">
        <f t="shared" si="44"/>
        <v>0</v>
      </c>
      <c r="R83" s="4">
        <f t="shared" si="44"/>
        <v>0</v>
      </c>
    </row>
    <row r="84" spans="1:18" ht="12.75">
      <c r="A84" s="2" t="s">
        <v>146</v>
      </c>
      <c r="B84" s="3"/>
      <c r="C84" s="3" t="s">
        <v>60</v>
      </c>
      <c r="D84" s="4">
        <f>ROUND(4095933,2)</f>
        <v>4095933</v>
      </c>
      <c r="E84" s="4">
        <f t="shared" si="39"/>
        <v>0</v>
      </c>
      <c r="F84" s="4">
        <f>ROUND(3181333,2)</f>
        <v>3181333</v>
      </c>
      <c r="G84" s="4">
        <f t="shared" si="40"/>
        <v>0</v>
      </c>
      <c r="H84" s="4">
        <f>ROUND(914600,2)</f>
        <v>914600</v>
      </c>
      <c r="I84" s="4">
        <f t="shared" si="45"/>
        <v>0</v>
      </c>
      <c r="J84" s="4">
        <f>ROUND(1579618.38,2)</f>
        <v>1579618.38</v>
      </c>
      <c r="K84" s="4">
        <f t="shared" si="41"/>
        <v>0</v>
      </c>
      <c r="L84" s="4">
        <f>ROUND(1233138.33,2)</f>
        <v>1233138.33</v>
      </c>
      <c r="M84" s="4">
        <f t="shared" si="42"/>
        <v>0</v>
      </c>
      <c r="N84" s="4">
        <f>ROUND(346480.05,2)</f>
        <v>346480.05</v>
      </c>
      <c r="O84" s="4">
        <f t="shared" si="43"/>
        <v>0</v>
      </c>
      <c r="P84" s="4">
        <f t="shared" si="44"/>
        <v>0</v>
      </c>
      <c r="Q84" s="4">
        <f t="shared" si="44"/>
        <v>0</v>
      </c>
      <c r="R84" s="4">
        <f t="shared" si="44"/>
        <v>0</v>
      </c>
    </row>
    <row r="85" spans="1:18" ht="12.75">
      <c r="A85" s="2" t="s">
        <v>23</v>
      </c>
      <c r="B85" s="3"/>
      <c r="C85" s="3" t="s">
        <v>45</v>
      </c>
      <c r="D85" s="4">
        <f>ROUND(2196130,2)</f>
        <v>2196130</v>
      </c>
      <c r="E85" s="4">
        <f t="shared" si="39"/>
        <v>0</v>
      </c>
      <c r="F85" s="4">
        <f>ROUND(937730,2)</f>
        <v>937730</v>
      </c>
      <c r="G85" s="4">
        <f t="shared" si="40"/>
        <v>0</v>
      </c>
      <c r="H85" s="4">
        <f>ROUND(1258400,2)</f>
        <v>1258400</v>
      </c>
      <c r="I85" s="4">
        <f t="shared" si="45"/>
        <v>0</v>
      </c>
      <c r="J85" s="4">
        <f>ROUND(682390.02,2)</f>
        <v>682390.02</v>
      </c>
      <c r="K85" s="4">
        <f t="shared" si="41"/>
        <v>0</v>
      </c>
      <c r="L85" s="4">
        <f>ROUND(294791.47,2)</f>
        <v>294791.47</v>
      </c>
      <c r="M85" s="4">
        <f t="shared" si="42"/>
        <v>0</v>
      </c>
      <c r="N85" s="4">
        <f>ROUND(387598.55,2)</f>
        <v>387598.55</v>
      </c>
      <c r="O85" s="4">
        <f t="shared" si="43"/>
        <v>0</v>
      </c>
      <c r="P85" s="4">
        <f t="shared" si="44"/>
        <v>0</v>
      </c>
      <c r="Q85" s="4">
        <f t="shared" si="44"/>
        <v>0</v>
      </c>
      <c r="R85" s="4">
        <f t="shared" si="44"/>
        <v>0</v>
      </c>
    </row>
    <row r="86" spans="1:18" ht="27.75">
      <c r="A86" s="2" t="s">
        <v>170</v>
      </c>
      <c r="B86" s="3" t="s">
        <v>167</v>
      </c>
      <c r="C86" s="3" t="s">
        <v>249</v>
      </c>
      <c r="D86" s="4">
        <f>ROUND(1838000,2)</f>
        <v>1838000</v>
      </c>
      <c r="E86" s="4">
        <f t="shared" si="39"/>
        <v>0</v>
      </c>
      <c r="F86" s="4">
        <f>ROUND(1838000,2)</f>
        <v>1838000</v>
      </c>
      <c r="G86" s="4">
        <f t="shared" si="40"/>
        <v>0</v>
      </c>
      <c r="H86" s="4">
        <f aca="true" t="shared" si="46" ref="H86:H97">ROUND(0,2)</f>
        <v>0</v>
      </c>
      <c r="I86" s="4">
        <f t="shared" si="45"/>
        <v>0</v>
      </c>
      <c r="J86" s="4">
        <f>ROUND(748272.81,2)</f>
        <v>748272.81</v>
      </c>
      <c r="K86" s="4">
        <f t="shared" si="41"/>
        <v>0</v>
      </c>
      <c r="L86" s="4">
        <f>ROUND(748272.81,2)</f>
        <v>748272.81</v>
      </c>
      <c r="M86" s="4">
        <f t="shared" si="42"/>
        <v>0</v>
      </c>
      <c r="N86" s="4">
        <f aca="true" t="shared" si="47" ref="N86:N97">ROUND(0,2)</f>
        <v>0</v>
      </c>
      <c r="O86" s="4">
        <f t="shared" si="43"/>
        <v>0</v>
      </c>
      <c r="P86" s="4">
        <f t="shared" si="44"/>
        <v>0</v>
      </c>
      <c r="Q86" s="4">
        <f t="shared" si="44"/>
        <v>0</v>
      </c>
      <c r="R86" s="4">
        <f t="shared" si="44"/>
        <v>0</v>
      </c>
    </row>
    <row r="87" spans="1:18" ht="18.75">
      <c r="A87" s="2" t="s">
        <v>206</v>
      </c>
      <c r="B87" s="3" t="s">
        <v>124</v>
      </c>
      <c r="C87" s="3" t="s">
        <v>256</v>
      </c>
      <c r="D87" s="4">
        <f>ROUND(1226000,2)</f>
        <v>1226000</v>
      </c>
      <c r="E87" s="4">
        <f t="shared" si="39"/>
        <v>0</v>
      </c>
      <c r="F87" s="4">
        <f>ROUND(1226000,2)</f>
        <v>1226000</v>
      </c>
      <c r="G87" s="4">
        <f t="shared" si="40"/>
        <v>0</v>
      </c>
      <c r="H87" s="4">
        <f t="shared" si="46"/>
        <v>0</v>
      </c>
      <c r="I87" s="4">
        <f t="shared" si="45"/>
        <v>0</v>
      </c>
      <c r="J87" s="4">
        <f>ROUND(459920.93,2)</f>
        <v>459920.93</v>
      </c>
      <c r="K87" s="4">
        <f t="shared" si="41"/>
        <v>0</v>
      </c>
      <c r="L87" s="4">
        <f>ROUND(459920.93,2)</f>
        <v>459920.93</v>
      </c>
      <c r="M87" s="4">
        <f t="shared" si="42"/>
        <v>0</v>
      </c>
      <c r="N87" s="4">
        <f t="shared" si="47"/>
        <v>0</v>
      </c>
      <c r="O87" s="4">
        <f t="shared" si="43"/>
        <v>0</v>
      </c>
      <c r="P87" s="4">
        <f t="shared" si="44"/>
        <v>0</v>
      </c>
      <c r="Q87" s="4">
        <f t="shared" si="44"/>
        <v>0</v>
      </c>
      <c r="R87" s="4">
        <f t="shared" si="44"/>
        <v>0</v>
      </c>
    </row>
    <row r="88" spans="1:18" ht="12.75">
      <c r="A88" s="2" t="s">
        <v>245</v>
      </c>
      <c r="B88" s="3"/>
      <c r="C88" s="3" t="s">
        <v>60</v>
      </c>
      <c r="D88" s="4">
        <f>ROUND(672000,2)</f>
        <v>672000</v>
      </c>
      <c r="E88" s="4">
        <f t="shared" si="39"/>
        <v>0</v>
      </c>
      <c r="F88" s="4">
        <f>ROUND(672000,2)</f>
        <v>672000</v>
      </c>
      <c r="G88" s="4">
        <f t="shared" si="40"/>
        <v>0</v>
      </c>
      <c r="H88" s="4">
        <f t="shared" si="46"/>
        <v>0</v>
      </c>
      <c r="I88" s="4">
        <f t="shared" si="45"/>
        <v>0</v>
      </c>
      <c r="J88" s="4">
        <f>ROUND(277085,2)</f>
        <v>277085</v>
      </c>
      <c r="K88" s="4">
        <f t="shared" si="41"/>
        <v>0</v>
      </c>
      <c r="L88" s="4">
        <f>ROUND(277085,2)</f>
        <v>277085</v>
      </c>
      <c r="M88" s="4">
        <f t="shared" si="42"/>
        <v>0</v>
      </c>
      <c r="N88" s="4">
        <f t="shared" si="47"/>
        <v>0</v>
      </c>
      <c r="O88" s="4">
        <f t="shared" si="43"/>
        <v>0</v>
      </c>
      <c r="P88" s="4">
        <f t="shared" si="44"/>
        <v>0</v>
      </c>
      <c r="Q88" s="4">
        <f t="shared" si="44"/>
        <v>0</v>
      </c>
      <c r="R88" s="4">
        <f t="shared" si="44"/>
        <v>0</v>
      </c>
    </row>
    <row r="89" spans="1:18" ht="12.75">
      <c r="A89" s="2" t="s">
        <v>132</v>
      </c>
      <c r="B89" s="3"/>
      <c r="C89" s="3" t="s">
        <v>45</v>
      </c>
      <c r="D89" s="4">
        <f>ROUND(554000,2)</f>
        <v>554000</v>
      </c>
      <c r="E89" s="4">
        <f t="shared" si="39"/>
        <v>0</v>
      </c>
      <c r="F89" s="4">
        <f>ROUND(554000,2)</f>
        <v>554000</v>
      </c>
      <c r="G89" s="4">
        <f t="shared" si="40"/>
        <v>0</v>
      </c>
      <c r="H89" s="4">
        <f t="shared" si="46"/>
        <v>0</v>
      </c>
      <c r="I89" s="4">
        <f t="shared" si="45"/>
        <v>0</v>
      </c>
      <c r="J89" s="4">
        <f>ROUND(182835.93,2)</f>
        <v>182835.93</v>
      </c>
      <c r="K89" s="4">
        <f t="shared" si="41"/>
        <v>0</v>
      </c>
      <c r="L89" s="4">
        <f>ROUND(182835.93,2)</f>
        <v>182835.93</v>
      </c>
      <c r="M89" s="4">
        <f t="shared" si="42"/>
        <v>0</v>
      </c>
      <c r="N89" s="4">
        <f t="shared" si="47"/>
        <v>0</v>
      </c>
      <c r="O89" s="4">
        <f t="shared" si="43"/>
        <v>0</v>
      </c>
      <c r="P89" s="4">
        <f t="shared" si="44"/>
        <v>0</v>
      </c>
      <c r="Q89" s="4">
        <f t="shared" si="44"/>
        <v>0</v>
      </c>
      <c r="R89" s="4">
        <f t="shared" si="44"/>
        <v>0</v>
      </c>
    </row>
    <row r="90" spans="1:18" ht="18.75">
      <c r="A90" s="2" t="s">
        <v>232</v>
      </c>
      <c r="B90" s="3" t="s">
        <v>260</v>
      </c>
      <c r="C90" s="3" t="s">
        <v>225</v>
      </c>
      <c r="D90" s="4">
        <f>ROUND(370000,2)</f>
        <v>370000</v>
      </c>
      <c r="E90" s="4">
        <f t="shared" si="39"/>
        <v>0</v>
      </c>
      <c r="F90" s="4">
        <f>ROUND(370000,2)</f>
        <v>370000</v>
      </c>
      <c r="G90" s="4">
        <f t="shared" si="40"/>
        <v>0</v>
      </c>
      <c r="H90" s="4">
        <f t="shared" si="46"/>
        <v>0</v>
      </c>
      <c r="I90" s="4">
        <f t="shared" si="45"/>
        <v>0</v>
      </c>
      <c r="J90" s="4">
        <f>ROUND(107029.95,2)</f>
        <v>107029.95</v>
      </c>
      <c r="K90" s="4">
        <f t="shared" si="41"/>
        <v>0</v>
      </c>
      <c r="L90" s="4">
        <f>ROUND(107029.95,2)</f>
        <v>107029.95</v>
      </c>
      <c r="M90" s="4">
        <f t="shared" si="42"/>
        <v>0</v>
      </c>
      <c r="N90" s="4">
        <f t="shared" si="47"/>
        <v>0</v>
      </c>
      <c r="O90" s="4">
        <f t="shared" si="43"/>
        <v>0</v>
      </c>
      <c r="P90" s="4">
        <f t="shared" si="44"/>
        <v>0</v>
      </c>
      <c r="Q90" s="4">
        <f t="shared" si="44"/>
        <v>0</v>
      </c>
      <c r="R90" s="4">
        <f t="shared" si="44"/>
        <v>0</v>
      </c>
    </row>
    <row r="91" spans="1:18" ht="12.75">
      <c r="A91" s="2" t="s">
        <v>255</v>
      </c>
      <c r="B91" s="3"/>
      <c r="C91" s="3" t="s">
        <v>60</v>
      </c>
      <c r="D91" s="4">
        <f>ROUND(203000,2)</f>
        <v>203000</v>
      </c>
      <c r="E91" s="4">
        <f t="shared" si="39"/>
        <v>0</v>
      </c>
      <c r="F91" s="4">
        <f>ROUND(203000,2)</f>
        <v>203000</v>
      </c>
      <c r="G91" s="4">
        <f t="shared" si="40"/>
        <v>0</v>
      </c>
      <c r="H91" s="4">
        <f t="shared" si="46"/>
        <v>0</v>
      </c>
      <c r="I91" s="4">
        <f t="shared" si="45"/>
        <v>0</v>
      </c>
      <c r="J91" s="4">
        <f>ROUND(66824.75,2)</f>
        <v>66824.75</v>
      </c>
      <c r="K91" s="4">
        <f t="shared" si="41"/>
        <v>0</v>
      </c>
      <c r="L91" s="4">
        <f>ROUND(66824.75,2)</f>
        <v>66824.75</v>
      </c>
      <c r="M91" s="4">
        <f t="shared" si="42"/>
        <v>0</v>
      </c>
      <c r="N91" s="4">
        <f t="shared" si="47"/>
        <v>0</v>
      </c>
      <c r="O91" s="4">
        <f t="shared" si="43"/>
        <v>0</v>
      </c>
      <c r="P91" s="4">
        <f t="shared" si="44"/>
        <v>0</v>
      </c>
      <c r="Q91" s="4">
        <f t="shared" si="44"/>
        <v>0</v>
      </c>
      <c r="R91" s="4">
        <f t="shared" si="44"/>
        <v>0</v>
      </c>
    </row>
    <row r="92" spans="1:18" ht="12.75">
      <c r="A92" s="2" t="s">
        <v>100</v>
      </c>
      <c r="B92" s="3"/>
      <c r="C92" s="3" t="s">
        <v>45</v>
      </c>
      <c r="D92" s="4">
        <f>ROUND(167000,2)</f>
        <v>167000</v>
      </c>
      <c r="E92" s="4">
        <f t="shared" si="39"/>
        <v>0</v>
      </c>
      <c r="F92" s="4">
        <f>ROUND(167000,2)</f>
        <v>167000</v>
      </c>
      <c r="G92" s="4">
        <f t="shared" si="40"/>
        <v>0</v>
      </c>
      <c r="H92" s="4">
        <f t="shared" si="46"/>
        <v>0</v>
      </c>
      <c r="I92" s="4">
        <f t="shared" si="45"/>
        <v>0</v>
      </c>
      <c r="J92" s="4">
        <f>ROUND(40205.2,2)</f>
        <v>40205.2</v>
      </c>
      <c r="K92" s="4">
        <f t="shared" si="41"/>
        <v>0</v>
      </c>
      <c r="L92" s="4">
        <f>ROUND(40205.2,2)</f>
        <v>40205.2</v>
      </c>
      <c r="M92" s="4">
        <f t="shared" si="42"/>
        <v>0</v>
      </c>
      <c r="N92" s="4">
        <f t="shared" si="47"/>
        <v>0</v>
      </c>
      <c r="O92" s="4">
        <f t="shared" si="43"/>
        <v>0</v>
      </c>
      <c r="P92" s="4">
        <f t="shared" si="44"/>
        <v>0</v>
      </c>
      <c r="Q92" s="4">
        <f t="shared" si="44"/>
        <v>0</v>
      </c>
      <c r="R92" s="4">
        <f t="shared" si="44"/>
        <v>0</v>
      </c>
    </row>
    <row r="93" spans="1:18" ht="27.75">
      <c r="A93" s="2" t="s">
        <v>259</v>
      </c>
      <c r="B93" s="3" t="s">
        <v>55</v>
      </c>
      <c r="C93" s="3" t="s">
        <v>135</v>
      </c>
      <c r="D93" s="4">
        <f>ROUND(1020000,2)</f>
        <v>1020000</v>
      </c>
      <c r="E93" s="4">
        <f t="shared" si="39"/>
        <v>0</v>
      </c>
      <c r="F93" s="4">
        <f>ROUND(1020000,2)</f>
        <v>1020000</v>
      </c>
      <c r="G93" s="4">
        <f t="shared" si="40"/>
        <v>0</v>
      </c>
      <c r="H93" s="4">
        <f t="shared" si="46"/>
        <v>0</v>
      </c>
      <c r="I93" s="4">
        <f t="shared" si="45"/>
        <v>0</v>
      </c>
      <c r="J93" s="4">
        <f>ROUND(349622.94,2)</f>
        <v>349622.94</v>
      </c>
      <c r="K93" s="4">
        <f t="shared" si="41"/>
        <v>0</v>
      </c>
      <c r="L93" s="4">
        <f>ROUND(349622.94,2)</f>
        <v>349622.94</v>
      </c>
      <c r="M93" s="4">
        <f t="shared" si="42"/>
        <v>0</v>
      </c>
      <c r="N93" s="4">
        <f t="shared" si="47"/>
        <v>0</v>
      </c>
      <c r="O93" s="4">
        <f t="shared" si="43"/>
        <v>0</v>
      </c>
      <c r="P93" s="4">
        <f t="shared" si="44"/>
        <v>0</v>
      </c>
      <c r="Q93" s="4">
        <f t="shared" si="44"/>
        <v>0</v>
      </c>
      <c r="R93" s="4">
        <f t="shared" si="44"/>
        <v>0</v>
      </c>
    </row>
    <row r="94" spans="1:18" ht="18.75">
      <c r="A94" s="2" t="s">
        <v>92</v>
      </c>
      <c r="B94" s="3" t="s">
        <v>252</v>
      </c>
      <c r="C94" s="3" t="s">
        <v>161</v>
      </c>
      <c r="D94" s="4">
        <f>ROUND(715000,2)</f>
        <v>715000</v>
      </c>
      <c r="E94" s="4">
        <f t="shared" si="39"/>
        <v>0</v>
      </c>
      <c r="F94" s="4">
        <f>ROUND(715000,2)</f>
        <v>715000</v>
      </c>
      <c r="G94" s="4">
        <f t="shared" si="40"/>
        <v>0</v>
      </c>
      <c r="H94" s="4">
        <f t="shared" si="46"/>
        <v>0</v>
      </c>
      <c r="I94" s="4">
        <f t="shared" si="45"/>
        <v>0</v>
      </c>
      <c r="J94" s="4">
        <f>ROUND(238991,2)</f>
        <v>238991</v>
      </c>
      <c r="K94" s="4">
        <f t="shared" si="41"/>
        <v>0</v>
      </c>
      <c r="L94" s="4">
        <f>ROUND(238991,2)</f>
        <v>238991</v>
      </c>
      <c r="M94" s="4">
        <f t="shared" si="42"/>
        <v>0</v>
      </c>
      <c r="N94" s="4">
        <f t="shared" si="47"/>
        <v>0</v>
      </c>
      <c r="O94" s="4">
        <f t="shared" si="43"/>
        <v>0</v>
      </c>
      <c r="P94" s="4">
        <f t="shared" si="44"/>
        <v>0</v>
      </c>
      <c r="Q94" s="4">
        <f t="shared" si="44"/>
        <v>0</v>
      </c>
      <c r="R94" s="4">
        <f t="shared" si="44"/>
        <v>0</v>
      </c>
    </row>
    <row r="95" spans="1:18" ht="12.75">
      <c r="A95" s="2" t="s">
        <v>18</v>
      </c>
      <c r="B95" s="3"/>
      <c r="C95" s="3" t="s">
        <v>60</v>
      </c>
      <c r="D95" s="4">
        <f>ROUND(715000,2)</f>
        <v>715000</v>
      </c>
      <c r="E95" s="4">
        <f t="shared" si="39"/>
        <v>0</v>
      </c>
      <c r="F95" s="4">
        <f>ROUND(715000,2)</f>
        <v>715000</v>
      </c>
      <c r="G95" s="4">
        <f t="shared" si="40"/>
        <v>0</v>
      </c>
      <c r="H95" s="4">
        <f t="shared" si="46"/>
        <v>0</v>
      </c>
      <c r="I95" s="4">
        <f t="shared" si="45"/>
        <v>0</v>
      </c>
      <c r="J95" s="4">
        <f>ROUND(238991,2)</f>
        <v>238991</v>
      </c>
      <c r="K95" s="4">
        <f t="shared" si="41"/>
        <v>0</v>
      </c>
      <c r="L95" s="4">
        <f>ROUND(238991,2)</f>
        <v>238991</v>
      </c>
      <c r="M95" s="4">
        <f t="shared" si="42"/>
        <v>0</v>
      </c>
      <c r="N95" s="4">
        <f t="shared" si="47"/>
        <v>0</v>
      </c>
      <c r="O95" s="4">
        <f t="shared" si="43"/>
        <v>0</v>
      </c>
      <c r="P95" s="4">
        <f t="shared" si="44"/>
        <v>0</v>
      </c>
      <c r="Q95" s="4">
        <f t="shared" si="44"/>
        <v>0</v>
      </c>
      <c r="R95" s="4">
        <f t="shared" si="44"/>
        <v>0</v>
      </c>
    </row>
    <row r="96" spans="1:18" ht="18.75">
      <c r="A96" s="2" t="s">
        <v>71</v>
      </c>
      <c r="B96" s="3" t="s">
        <v>99</v>
      </c>
      <c r="C96" s="3" t="s">
        <v>192</v>
      </c>
      <c r="D96" s="4">
        <f>ROUND(216000,2)</f>
        <v>216000</v>
      </c>
      <c r="E96" s="4">
        <f t="shared" si="39"/>
        <v>0</v>
      </c>
      <c r="F96" s="4">
        <f>ROUND(216000,2)</f>
        <v>216000</v>
      </c>
      <c r="G96" s="4">
        <f t="shared" si="40"/>
        <v>0</v>
      </c>
      <c r="H96" s="4">
        <f t="shared" si="46"/>
        <v>0</v>
      </c>
      <c r="I96" s="4">
        <f t="shared" si="45"/>
        <v>0</v>
      </c>
      <c r="J96" s="4">
        <f>ROUND(73188.76,2)</f>
        <v>73188.76</v>
      </c>
      <c r="K96" s="4">
        <f t="shared" si="41"/>
        <v>0</v>
      </c>
      <c r="L96" s="4">
        <f>ROUND(73188.76,2)</f>
        <v>73188.76</v>
      </c>
      <c r="M96" s="4">
        <f t="shared" si="42"/>
        <v>0</v>
      </c>
      <c r="N96" s="4">
        <f t="shared" si="47"/>
        <v>0</v>
      </c>
      <c r="O96" s="4">
        <f t="shared" si="43"/>
        <v>0</v>
      </c>
      <c r="P96" s="4">
        <f t="shared" si="44"/>
        <v>0</v>
      </c>
      <c r="Q96" s="4">
        <f t="shared" si="44"/>
        <v>0</v>
      </c>
      <c r="R96" s="4">
        <f t="shared" si="44"/>
        <v>0</v>
      </c>
    </row>
    <row r="97" spans="1:18" ht="12.75">
      <c r="A97" s="2" t="s">
        <v>9</v>
      </c>
      <c r="B97" s="3"/>
      <c r="C97" s="3" t="s">
        <v>60</v>
      </c>
      <c r="D97" s="4">
        <f>ROUND(216000,2)</f>
        <v>216000</v>
      </c>
      <c r="E97" s="4">
        <f t="shared" si="39"/>
        <v>0</v>
      </c>
      <c r="F97" s="4">
        <f>ROUND(216000,2)</f>
        <v>216000</v>
      </c>
      <c r="G97" s="4">
        <f t="shared" si="40"/>
        <v>0</v>
      </c>
      <c r="H97" s="4">
        <f t="shared" si="46"/>
        <v>0</v>
      </c>
      <c r="I97" s="4">
        <f t="shared" si="45"/>
        <v>0</v>
      </c>
      <c r="J97" s="4">
        <f>ROUND(73188.76,2)</f>
        <v>73188.76</v>
      </c>
      <c r="K97" s="4">
        <f t="shared" si="41"/>
        <v>0</v>
      </c>
      <c r="L97" s="4">
        <f>ROUND(73188.76,2)</f>
        <v>73188.76</v>
      </c>
      <c r="M97" s="4">
        <f t="shared" si="42"/>
        <v>0</v>
      </c>
      <c r="N97" s="4">
        <f t="shared" si="47"/>
        <v>0</v>
      </c>
      <c r="O97" s="4">
        <f t="shared" si="43"/>
        <v>0</v>
      </c>
      <c r="P97" s="4">
        <f t="shared" si="44"/>
        <v>0</v>
      </c>
      <c r="Q97" s="4">
        <f t="shared" si="44"/>
        <v>0</v>
      </c>
      <c r="R97" s="4">
        <f t="shared" si="44"/>
        <v>0</v>
      </c>
    </row>
    <row r="99" spans="3:8" ht="12.75">
      <c r="C99" s="6" t="s">
        <v>273</v>
      </c>
      <c r="H99" t="s">
        <v>276</v>
      </c>
    </row>
    <row r="101" spans="3:8" ht="12.75">
      <c r="C101" s="6" t="s">
        <v>274</v>
      </c>
      <c r="H101" t="s">
        <v>277</v>
      </c>
    </row>
    <row r="103" spans="3:8" ht="12.75">
      <c r="C103" t="s">
        <v>275</v>
      </c>
      <c r="H103" t="s">
        <v>278</v>
      </c>
    </row>
  </sheetData>
  <mergeCells count="1">
    <mergeCell ref="C1:J1"/>
  </mergeCells>
  <printOptions gridLines="1"/>
  <pageMargins left="0.75" right="0.75" top="1" bottom="1" header="0.5" footer="0.5"/>
  <pageSetup horizontalDpi="600" verticalDpi="600" orientation="landscape" paperSize="9" scale="8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2013-06-19T05:42:47Z</dcterms:created>
  <dcterms:modified xsi:type="dcterms:W3CDTF">2013-06-19T05:42:47Z</dcterms:modified>
  <cp:category/>
  <cp:version/>
  <cp:contentType/>
  <cp:contentStatus/>
</cp:coreProperties>
</file>